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VrjSk2y80U3MtSkj1z9ZqFbTJuvFrLc/QniCLn/kfRLzruYxxuMj30x8+Pg9h/HPirRTdGX+yS+InGUKFv9qAg==" workbookSaltValue="beEBWW2lZsskJPFYpCb0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F16" i="11" l="1"/>
  <c r="AQ16" i="11" s="1"/>
  <c r="R13" i="17"/>
  <c r="P13" i="14"/>
  <c r="R13" i="14" s="1"/>
  <c r="BG17" i="13"/>
  <c r="R8" i="9"/>
  <c r="S10" i="14" s="1"/>
  <c r="V10" i="14" s="1"/>
  <c r="BH11" i="16"/>
  <c r="BK13" i="11"/>
  <c r="BH19" i="16"/>
  <c r="BM29" i="11"/>
  <c r="BH19" i="11"/>
  <c r="BK9" i="11"/>
  <c r="S9" i="17"/>
  <c r="BI10" i="11"/>
  <c r="BM25" i="11"/>
  <c r="V28" i="11"/>
  <c r="BI18" i="11"/>
  <c r="S19" i="14"/>
  <c r="V19" i="14" s="1"/>
  <c r="R12" i="14"/>
  <c r="T13" i="11"/>
  <c r="T11" i="11"/>
  <c r="T18" i="11"/>
  <c r="AA17" i="16"/>
  <c r="AA18" i="16"/>
  <c r="T18" i="20"/>
  <c r="AA12" i="21"/>
  <c r="V16" i="20"/>
  <c r="V23" i="20" s="1"/>
  <c r="T22" i="11"/>
  <c r="T17" i="11"/>
  <c r="X21" i="17"/>
  <c r="AA9" i="16"/>
  <c r="V21" i="16"/>
  <c r="AZ28" i="11"/>
  <c r="L21" i="2"/>
  <c r="X12" i="16"/>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I16" i="12"/>
  <c r="K9" i="12"/>
  <c r="BF23" i="13"/>
  <c r="AM17" i="11"/>
  <c r="AQ26" i="21"/>
  <c r="AO26" i="17"/>
  <c r="L29" i="2"/>
  <c r="L13" i="2"/>
  <c r="AZ20" i="11"/>
  <c r="U10" i="21"/>
  <c r="AA20" i="16"/>
  <c r="AA10" i="16"/>
  <c r="V13" i="16"/>
  <c r="T12" i="11"/>
  <c r="V19" i="16"/>
  <c r="X19" i="20"/>
  <c r="X9" i="17"/>
  <c r="X13" i="17"/>
  <c r="AA28" i="16"/>
  <c r="S16" i="14"/>
  <c r="V16" i="14" s="1"/>
  <c r="T25" i="11"/>
  <c r="R19" i="14"/>
  <c r="S29" i="14"/>
  <c r="V29" i="14" s="1"/>
  <c r="BH20" i="11"/>
  <c r="BK25" i="11"/>
  <c r="Q10" i="21"/>
  <c r="BG29" i="11"/>
  <c r="V18" i="16"/>
  <c r="BK19" i="11"/>
  <c r="BF29" i="11"/>
  <c r="P18" i="17"/>
  <c r="BH16" i="11"/>
  <c r="S20" i="14"/>
  <c r="V20" i="14" s="1"/>
  <c r="T9" i="11"/>
  <c r="K17" i="12"/>
  <c r="K16" i="12"/>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R26" i="14" s="1"/>
  <c r="V20" i="11"/>
  <c r="BL25" i="11"/>
  <c r="Q25" i="11" s="1"/>
  <c r="BG19" i="11"/>
  <c r="AZ9" i="11"/>
  <c r="BL29" i="11"/>
  <c r="T16" i="16"/>
  <c r="T23" i="16" s="1"/>
  <c r="T31" i="16" s="1"/>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A31" i="11"/>
  <c r="P25" i="11"/>
  <c r="BF23" i="11"/>
  <c r="BU33" i="17"/>
  <c r="AZ31" i="11"/>
  <c r="AZ14" i="11"/>
  <c r="P9" i="11"/>
  <c r="P16" i="11"/>
  <c r="R31" i="20"/>
  <c r="S23" i="16"/>
  <c r="S31" i="16" s="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<sst xmlns="http://schemas.openxmlformats.org/spreadsheetml/2006/main" count="2682" uniqueCount="1193">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</sst>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lHhNruF+rIb99SDVJDi3vXD5Z0oxB3RuKoAhoty8G2Ej6rtmImUQjgM/j8CyJCtSyLsUAAchitxt8k3DYfpA==" saltValue="gz3gNtdayuwoVCWyUOEt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13</v>
      </c>
      <c r="F10" s="240">
        <f>IF(ISNUMBER(Datos!K10),Datos!K10," - ")</f>
        <v>14</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-0.04</v>
      </c>
      <c r="L10" s="1402">
        <f>IF(ISNUMBER(NºAsuntos!I10/NºAsuntos!G10),(NºAsuntos!I10/NºAsuntos!G10)*11," - ")</f>
        <v>18.857142857142858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16.753846153846155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13</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668</v>
      </c>
      <c r="D17" s="239">
        <f>IF(ISNUMBER(IF(D_I="SI",Datos!I17,Datos!I17+Datos!AC17)),IF(D_I="SI",Datos!I17,Datos!I17+Datos!AC17)," - ")</f>
        <v>671</v>
      </c>
      <c r="E17" s="240">
        <f>IF(ISNUMBER(IF(D_I="SI",Datos!J17,Datos!J17+Datos!AD17)),IF(D_I="SI",Datos!J17,Datos!J17+Datos!AD17)," - ")</f>
        <v>393</v>
      </c>
      <c r="F17" s="240">
        <f>IF(ISNUMBER(IF(D_I="SI",Datos!K17,Datos!K17+Datos!AE17)),IF(D_I="SI",Datos!K17,Datos!K17+Datos!AE17)," - ")</f>
        <v>368</v>
      </c>
      <c r="G17" s="1390" t="str">
        <f>IF(Datos!E17&lt;&gt;"",Datos!E17,Datos!D17)</f>
        <v>04</v>
      </c>
      <c r="H17" s="241">
        <f>IF(ISNUMBER(IF(D_I="SI",Datos!L17,Datos!L17+Datos!AF17)),IF(D_I="SI",Datos!L17,Datos!L17+Datos!AF17)," - ")</f>
        <v>693</v>
      </c>
      <c r="I17" s="1400" t="str">
        <f>IF(ISNUMBER(Datos!AS17/Datos!BM17),Datos!AS17/Datos!BM17," - ")</f>
        <v xml:space="preserve"> - </v>
      </c>
      <c r="J17" s="1401">
        <f>IF(ISNUMBER(Datos!BY17/Datos!CN17),Datos!BY17/Datos!CN17," - ")</f>
        <v>0</v>
      </c>
      <c r="K17" s="244">
        <f t="shared" si="3"/>
        <v>3.7425149700598799E-2</v>
      </c>
      <c r="L17" s="1402">
        <f>IF(ISNUMBER(NºAsuntos!I17/NºAsuntos!G17),(NºAsuntos!I17/NºAsuntos!G17)*11," - ")</f>
        <v>20.714673913043477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94</v>
      </c>
      <c r="E18" s="240">
        <f>IF(ISNUMBER(IF(D_I="SI",Datos!J18,Datos!J18+Datos!AD18)),IF(D_I="SI",Datos!J18,Datos!J18+Datos!AD18)," - ")</f>
        <v>50</v>
      </c>
      <c r="F18" s="240">
        <f>IF(ISNUMBER(IF(D_I="SI",Datos!K18,Datos!K18+Datos!AE18)),IF(D_I="SI",Datos!K18,Datos!K18+Datos!AE18)," - ")</f>
        <v>49</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1.1764705882352941E-2</v>
      </c>
      <c r="L18" s="1402">
        <f>IF(ISNUMBER(NºAsuntos!I18/NºAsuntos!G18),(NºAsuntos!I18/NºAsuntos!G18)*11," - ")</f>
        <v>19.30612244897959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753</v>
      </c>
      <c r="D23" s="1407">
        <f>SUBTOTAL(9,D16:D22)</f>
        <v>765</v>
      </c>
      <c r="E23" s="1408">
        <f>SUBTOTAL(9,E16:E22)</f>
        <v>443</v>
      </c>
      <c r="F23" s="1408">
        <f>SUBTOTAL(9,F16:F22)</f>
        <v>417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778</v>
      </c>
      <c r="D31" s="1435">
        <f>SUBTOTAL(9,D9:D30)</f>
        <v>790</v>
      </c>
      <c r="E31" s="1436">
        <f>SUBTOTAL(9,E9:E30)</f>
        <v>456</v>
      </c>
      <c r="F31" s="1436">
        <f>SUBTOTAL(9,F9:F30)</f>
        <v>431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2W59mRoLozp9UD5haMV2WXTPqEqQpVK7joJ5VrnMkKUsdREjkOXkwCQhZi5rh1qKo12FpC95QU4rxwmWVovvw==" saltValue="R+TT8KR2gouE3x5yCFDw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aV/yHNDjgK+wrOZPuApAJcEsqiL0lKVLfRiMAl2pFLnj8XUSZzPtVCFB8K8ILo3sCKqoNhlFoTVqYYYzZp1gg==" saltValue="b2jKROwM/WR+rXGWP2K8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13</v>
      </c>
      <c r="K10" s="194">
        <v>14</v>
      </c>
      <c r="L10" s="194">
        <v>24</v>
      </c>
      <c r="M10" s="194">
        <v>2</v>
      </c>
      <c r="N10" s="194">
        <v>0</v>
      </c>
      <c r="O10" s="194">
        <v>0</v>
      </c>
      <c r="P10" s="194">
        <v>3</v>
      </c>
      <c r="Q10" s="194">
        <v>0</v>
      </c>
      <c r="R10" s="194">
        <v>17</v>
      </c>
      <c r="S10" s="194">
        <v>7</v>
      </c>
      <c r="T10" s="194">
        <v>8</v>
      </c>
      <c r="U10" s="194">
        <v>6</v>
      </c>
      <c r="V10" s="194">
        <v>9</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8</v>
      </c>
      <c r="BA10" s="139">
        <f t="shared" si="0"/>
        <v>6</v>
      </c>
      <c r="BB10" s="139">
        <f t="shared" si="0"/>
        <v>9</v>
      </c>
      <c r="BC10" s="135">
        <f t="shared" si="0"/>
        <v>1</v>
      </c>
      <c r="BD10" s="136">
        <f>IF(ISNUMBER(BA10/AZ10),BA10/AZ10," - ")</f>
        <v>0.75</v>
      </c>
      <c r="BE10" s="137">
        <f>IF(ISNUMBER(BB10/BA10),BB10/BA10, " - ")</f>
        <v>1.5</v>
      </c>
      <c r="BF10" s="137">
        <f>IF(ISNUMBER(BC10/BA10),BC10/BA10, " - ")</f>
        <v>0.16666666666666666</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512</v>
      </c>
      <c r="J12" s="196">
        <v>353</v>
      </c>
      <c r="K12" s="196">
        <v>293</v>
      </c>
      <c r="L12" s="196">
        <v>560</v>
      </c>
      <c r="M12" s="196">
        <v>93</v>
      </c>
      <c r="N12" s="196">
        <v>142</v>
      </c>
      <c r="O12" s="194">
        <v>158</v>
      </c>
      <c r="P12" s="196">
        <v>83</v>
      </c>
      <c r="Q12" s="196">
        <v>85</v>
      </c>
      <c r="R12" s="196">
        <v>980</v>
      </c>
      <c r="S12" s="196">
        <v>573</v>
      </c>
      <c r="T12" s="196">
        <v>350</v>
      </c>
      <c r="U12" s="196">
        <v>443</v>
      </c>
      <c r="V12" s="196">
        <v>475</v>
      </c>
      <c r="W12" s="196">
        <v>140</v>
      </c>
      <c r="X12" s="202">
        <v>191</v>
      </c>
      <c r="Y12" s="204">
        <v>44</v>
      </c>
      <c r="Z12" s="194">
        <v>87</v>
      </c>
      <c r="AA12" s="194">
        <v>97</v>
      </c>
      <c r="AB12" s="194">
        <v>34</v>
      </c>
      <c r="AC12" s="196">
        <v>0</v>
      </c>
      <c r="AD12" s="196">
        <v>0</v>
      </c>
      <c r="AE12" s="196">
        <v>0</v>
      </c>
      <c r="AF12" s="202">
        <v>0</v>
      </c>
      <c r="AG12" s="215">
        <v>46</v>
      </c>
      <c r="AH12" s="196">
        <v>86</v>
      </c>
      <c r="AI12" s="196">
        <v>98</v>
      </c>
      <c r="AJ12" s="216">
        <v>34</v>
      </c>
      <c r="AK12" s="195">
        <v>0</v>
      </c>
      <c r="AL12" s="196">
        <v>0</v>
      </c>
      <c r="AM12" s="196">
        <v>0</v>
      </c>
      <c r="AN12" s="202">
        <v>0</v>
      </c>
      <c r="AO12" s="283">
        <v>4</v>
      </c>
      <c r="AP12" s="168">
        <v>4</v>
      </c>
      <c r="AQ12" s="168">
        <v>4</v>
      </c>
      <c r="AR12" s="167">
        <v>4</v>
      </c>
      <c r="AS12" s="381" t="s">
        <v>1075</v>
      </c>
      <c r="AT12" s="216"/>
      <c r="AU12" s="215"/>
      <c r="AV12" s="216"/>
      <c r="AW12" s="215"/>
      <c r="AX12" s="216"/>
      <c r="AY12" s="136">
        <f t="shared" si="1"/>
        <v>619</v>
      </c>
      <c r="AZ12" s="137">
        <f t="shared" si="1"/>
        <v>436</v>
      </c>
      <c r="BA12" s="137">
        <f t="shared" si="1"/>
        <v>541</v>
      </c>
      <c r="BB12" s="137">
        <f t="shared" si="1"/>
        <v>509</v>
      </c>
      <c r="BC12" s="135">
        <f>IF(ISNUMBER(X12),X12," - ")</f>
        <v>191</v>
      </c>
      <c r="BD12" s="136">
        <f t="shared" si="2"/>
        <v>1.2408256880733946</v>
      </c>
      <c r="BE12" s="137">
        <f t="shared" si="3"/>
        <v>0.94085027726432535</v>
      </c>
      <c r="BF12" s="137">
        <f t="shared" si="4"/>
        <v>0.35304990757855825</v>
      </c>
      <c r="BG12" s="209">
        <f t="shared" si="5"/>
        <v>1.9500924214417745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537</v>
      </c>
      <c r="J14" s="197">
        <f t="shared" si="7"/>
        <v>366</v>
      </c>
      <c r="K14" s="197">
        <f t="shared" si="7"/>
        <v>307</v>
      </c>
      <c r="L14" s="197">
        <f t="shared" si="7"/>
        <v>584</v>
      </c>
      <c r="M14" s="197">
        <f t="shared" si="7"/>
        <v>95</v>
      </c>
      <c r="N14" s="197">
        <f t="shared" si="7"/>
        <v>142</v>
      </c>
      <c r="O14" s="197">
        <f t="shared" si="7"/>
        <v>158</v>
      </c>
      <c r="P14" s="197">
        <f t="shared" si="7"/>
        <v>86</v>
      </c>
      <c r="Q14" s="197">
        <f t="shared" si="7"/>
        <v>85</v>
      </c>
      <c r="R14" s="197">
        <f t="shared" si="7"/>
        <v>997</v>
      </c>
      <c r="S14" s="197">
        <f t="shared" si="7"/>
        <v>580</v>
      </c>
      <c r="T14" s="197">
        <f t="shared" si="7"/>
        <v>358</v>
      </c>
      <c r="U14" s="197">
        <f t="shared" si="7"/>
        <v>449</v>
      </c>
      <c r="V14" s="197">
        <f t="shared" si="7"/>
        <v>484</v>
      </c>
      <c r="W14" s="197">
        <f t="shared" si="7"/>
        <v>141</v>
      </c>
      <c r="X14" s="197">
        <f t="shared" si="7"/>
        <v>193</v>
      </c>
      <c r="Y14" s="197">
        <f t="shared" si="7"/>
        <v>44</v>
      </c>
      <c r="Z14" s="197">
        <f t="shared" si="7"/>
        <v>87</v>
      </c>
      <c r="AA14" s="197">
        <f t="shared" si="7"/>
        <v>97</v>
      </c>
      <c r="AB14" s="197">
        <f t="shared" si="7"/>
        <v>34</v>
      </c>
      <c r="AC14" s="197">
        <f t="shared" si="7"/>
        <v>0</v>
      </c>
      <c r="AD14" s="197">
        <f t="shared" si="7"/>
        <v>0</v>
      </c>
      <c r="AE14" s="197">
        <f t="shared" si="7"/>
        <v>0</v>
      </c>
      <c r="AF14" s="197">
        <f>SUBTOTAL(9,AF9:AF13)</f>
        <v>0</v>
      </c>
      <c r="AG14" s="197">
        <f t="shared" ref="AG14:AT14" si="8">SUBTOTAL(9,AG8:AG13)</f>
        <v>46</v>
      </c>
      <c r="AH14" s="197">
        <f t="shared" si="8"/>
        <v>86</v>
      </c>
      <c r="AI14" s="197">
        <f t="shared" si="8"/>
        <v>98</v>
      </c>
      <c r="AJ14" s="197">
        <f t="shared" si="8"/>
        <v>34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626</v>
      </c>
      <c r="AZ14" s="197">
        <f>SUBTOTAL(9,AZ8:AZ13)</f>
        <v>444</v>
      </c>
      <c r="BA14" s="197">
        <f>SUBTOTAL(9,BA8:BA13)</f>
        <v>547</v>
      </c>
      <c r="BB14" s="197">
        <f>SUBTOTAL(9,BB8:BB13)</f>
        <v>518</v>
      </c>
      <c r="BC14" s="197">
        <f>SUBTOTAL(9,BC8:BC13)</f>
        <v>192</v>
      </c>
      <c r="BD14" s="219">
        <f>IF(ISNUMBER(BA14/AZ14),BA14/AZ14," - ")</f>
        <v>1.2319819819819819</v>
      </c>
      <c r="BE14" s="220">
        <f>IF(ISNUMBER(BB14/BA14),BB14/BA14, " - ")</f>
        <v>0.94698354661791595</v>
      </c>
      <c r="BF14" s="220">
        <f>IF(ISNUMBER(BC14/BA14),BC14/BA14, " - ")</f>
        <v>0.35100548446069468</v>
      </c>
      <c r="BG14" s="221">
        <f>IF(ISNUMBER((AY14+AZ14)/BA14),(AY14+AZ14)/BA14," - ")</f>
        <v>1.9561243144424132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671</v>
      </c>
      <c r="J17" s="196">
        <v>393</v>
      </c>
      <c r="K17" s="196">
        <v>368</v>
      </c>
      <c r="L17" s="196">
        <v>693</v>
      </c>
      <c r="M17" s="196">
        <v>95</v>
      </c>
      <c r="N17" s="196">
        <v>207</v>
      </c>
      <c r="O17" s="194">
        <v>0</v>
      </c>
      <c r="P17" s="196">
        <v>43</v>
      </c>
      <c r="Q17" s="196">
        <v>36</v>
      </c>
      <c r="R17" s="196">
        <v>126</v>
      </c>
      <c r="S17" s="196">
        <v>715</v>
      </c>
      <c r="T17" s="196">
        <v>270</v>
      </c>
      <c r="U17" s="196">
        <v>394</v>
      </c>
      <c r="V17" s="196">
        <v>575</v>
      </c>
      <c r="W17" s="196">
        <v>95</v>
      </c>
      <c r="X17" s="202">
        <v>175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715</v>
      </c>
      <c r="AZ17" s="137">
        <f t="shared" si="10"/>
        <v>270</v>
      </c>
      <c r="BA17" s="137">
        <f t="shared" si="10"/>
        <v>394</v>
      </c>
      <c r="BB17" s="137">
        <f t="shared" si="10"/>
        <v>575</v>
      </c>
      <c r="BC17" s="135">
        <f>IF(ISNUMBER(W17),W17," - ")</f>
        <v>95</v>
      </c>
      <c r="BD17" s="136">
        <f t="shared" ref="BD17:BD22" si="12">IF(ISNUMBER(BA17/AZ17),BA17/AZ17," - ")</f>
        <v>1.4592592592592593</v>
      </c>
      <c r="BE17" s="137">
        <f t="shared" ref="BE17:BE22" si="13">IF(ISNUMBER(BB17/BA17),BB17/BA17, " - ")</f>
        <v>1.4593908629441625</v>
      </c>
      <c r="BF17" s="137">
        <f t="shared" ref="BF17:BF22" si="14">IF(ISNUMBER(BC17/BA17),BC17/BA17, " - ")</f>
        <v>0.24111675126903553</v>
      </c>
      <c r="BG17" s="209">
        <f t="shared" si="11"/>
        <v>2.5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50</v>
      </c>
      <c r="K18" s="196">
        <v>49</v>
      </c>
      <c r="L18" s="196">
        <v>86</v>
      </c>
      <c r="M18" s="196">
        <v>5</v>
      </c>
      <c r="N18" s="196">
        <v>39</v>
      </c>
      <c r="O18" s="196">
        <v>0</v>
      </c>
      <c r="P18" s="196">
        <v>2</v>
      </c>
      <c r="Q18" s="196">
        <v>0</v>
      </c>
      <c r="R18" s="196">
        <v>2</v>
      </c>
      <c r="S18" s="196">
        <v>64</v>
      </c>
      <c r="T18" s="196">
        <v>52</v>
      </c>
      <c r="U18" s="196">
        <v>61</v>
      </c>
      <c r="V18" s="196">
        <v>55</v>
      </c>
      <c r="W18" s="196">
        <v>3</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52</v>
      </c>
      <c r="BA18" s="139">
        <f t="shared" si="15"/>
        <v>61</v>
      </c>
      <c r="BB18" s="139">
        <f t="shared" si="15"/>
        <v>55</v>
      </c>
      <c r="BC18" s="135">
        <f>IF(ISNUMBER(W18),W18," - ")</f>
        <v>3</v>
      </c>
      <c r="BD18" s="136">
        <f>IF(ISNUMBER(BA18/AZ18),BA18/AZ18," - ")</f>
        <v>1.1730769230769231</v>
      </c>
      <c r="BE18" s="137">
        <f>IF(ISNUMBER(BB18/BA18),BB18/BA18, " - ")</f>
        <v>0.90163934426229508</v>
      </c>
      <c r="BF18" s="137">
        <f>IF(ISNUMBER(BC18/BA18),BC18/BA18, " - ")</f>
        <v>4.9180327868852458E-2</v>
      </c>
      <c r="BG18" s="209">
        <f>IF(ISNUMBER((AY18+AZ18)/BA18),(AY18+AZ18)/BA18," - ")</f>
        <v>1.901639344262295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765</v>
      </c>
      <c r="J23" s="197">
        <f t="shared" si="21"/>
        <v>443</v>
      </c>
      <c r="K23" s="197">
        <f t="shared" si="21"/>
        <v>417</v>
      </c>
      <c r="L23" s="197">
        <f t="shared" si="21"/>
        <v>779</v>
      </c>
      <c r="M23" s="197">
        <f t="shared" si="21"/>
        <v>100</v>
      </c>
      <c r="N23" s="197">
        <f t="shared" si="21"/>
        <v>246</v>
      </c>
      <c r="O23" s="197">
        <f t="shared" si="21"/>
        <v>0</v>
      </c>
      <c r="P23" s="197">
        <f t="shared" si="21"/>
        <v>45</v>
      </c>
      <c r="Q23" s="197">
        <f t="shared" si="21"/>
        <v>36</v>
      </c>
      <c r="R23" s="197">
        <f t="shared" si="21"/>
        <v>128</v>
      </c>
      <c r="S23" s="197">
        <f t="shared" si="21"/>
        <v>779</v>
      </c>
      <c r="T23" s="197">
        <f t="shared" si="21"/>
        <v>322</v>
      </c>
      <c r="U23" s="197">
        <f t="shared" si="21"/>
        <v>455</v>
      </c>
      <c r="V23" s="197">
        <f t="shared" si="21"/>
        <v>630</v>
      </c>
      <c r="W23" s="197">
        <f t="shared" si="21"/>
        <v>98</v>
      </c>
      <c r="X23" s="197">
        <f t="shared" si="21"/>
        <v>195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779</v>
      </c>
      <c r="AZ23" s="197">
        <f>SUBTOTAL(9,AZ15:AZ22)</f>
        <v>322</v>
      </c>
      <c r="BA23" s="197">
        <f>SUBTOTAL(9,BA15:BA22)</f>
        <v>455</v>
      </c>
      <c r="BB23" s="197">
        <f>SUBTOTAL(9,BB15:BB22)</f>
        <v>630</v>
      </c>
      <c r="BC23" s="197">
        <f>SUBTOTAL(9,BC15:BC22)</f>
        <v>98</v>
      </c>
      <c r="BD23" s="219">
        <f>IF(ISNUMBER(BA23/AZ23),BA23/AZ23," - ")</f>
        <v>1.4130434782608696</v>
      </c>
      <c r="BE23" s="220">
        <f>IF(ISNUMBER(BB23/BA23),BB23/BA23, " - ")</f>
        <v>1.3846153846153846</v>
      </c>
      <c r="BF23" s="220">
        <f>IF(ISNUMBER(BC23/BA23),BC23/BA23, " - ")</f>
        <v>0.2153846153846154</v>
      </c>
      <c r="BG23" s="221">
        <f>IF(ISNUMBER((AY23+AZ23)/BA23),(AY23+AZ23)/BA23," - ")</f>
        <v>2.4197802197802196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1302</v>
      </c>
      <c r="J31" s="144">
        <f t="shared" si="36"/>
        <v>809</v>
      </c>
      <c r="K31" s="144">
        <f t="shared" si="36"/>
        <v>724</v>
      </c>
      <c r="L31" s="144">
        <f t="shared" si="36"/>
        <v>1363</v>
      </c>
      <c r="M31" s="144">
        <f t="shared" si="36"/>
        <v>195</v>
      </c>
      <c r="N31" s="144">
        <f t="shared" si="36"/>
        <v>388</v>
      </c>
      <c r="O31" s="144">
        <f t="shared" si="36"/>
        <v>158</v>
      </c>
      <c r="P31" s="144">
        <f t="shared" si="36"/>
        <v>131</v>
      </c>
      <c r="Q31" s="144">
        <f t="shared" si="36"/>
        <v>121</v>
      </c>
      <c r="R31" s="144">
        <f t="shared" si="36"/>
        <v>1125</v>
      </c>
      <c r="S31" s="144">
        <f t="shared" si="36"/>
        <v>1359</v>
      </c>
      <c r="T31" s="144">
        <f t="shared" si="36"/>
        <v>680</v>
      </c>
      <c r="U31" s="144">
        <f t="shared" si="36"/>
        <v>904</v>
      </c>
      <c r="V31" s="144">
        <f t="shared" si="36"/>
        <v>1114</v>
      </c>
      <c r="W31" s="144">
        <f t="shared" si="36"/>
        <v>239</v>
      </c>
      <c r="X31" s="144">
        <f t="shared" si="36"/>
        <v>388</v>
      </c>
      <c r="Y31" s="144">
        <f t="shared" si="36"/>
        <v>44</v>
      </c>
      <c r="Z31" s="144">
        <f t="shared" si="36"/>
        <v>87</v>
      </c>
      <c r="AA31" s="144">
        <f t="shared" si="36"/>
        <v>97</v>
      </c>
      <c r="AB31" s="144">
        <f t="shared" si="36"/>
        <v>34</v>
      </c>
      <c r="AC31" s="144">
        <f t="shared" si="36"/>
        <v>0</v>
      </c>
      <c r="AD31" s="144">
        <f t="shared" si="36"/>
        <v>0</v>
      </c>
      <c r="AE31" s="144">
        <f t="shared" si="36"/>
        <v>0</v>
      </c>
      <c r="AF31" s="144">
        <f t="shared" si="36"/>
        <v>0</v>
      </c>
      <c r="AG31" s="144">
        <f t="shared" si="36"/>
        <v>46</v>
      </c>
      <c r="AH31" s="144">
        <f t="shared" si="36"/>
        <v>86</v>
      </c>
      <c r="AI31" s="144">
        <f t="shared" si="36"/>
        <v>98</v>
      </c>
      <c r="AJ31" s="144">
        <f t="shared" si="36"/>
        <v>34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1405</v>
      </c>
      <c r="AZ31" s="144">
        <f>SUBTOTAL(9,AZ9:AZ30)</f>
        <v>766</v>
      </c>
      <c r="BA31" s="144">
        <f>SUBTOTAL(9,BA9:BA30)</f>
        <v>1002</v>
      </c>
      <c r="BB31" s="144">
        <f>SUBTOTAL(9,BB9:BB30)</f>
        <v>1148</v>
      </c>
      <c r="BC31" s="145">
        <f>SUBTOTAL(9,BC9:BC30)</f>
        <v>290</v>
      </c>
      <c r="BD31" s="227">
        <f>IF(ISNUMBER(BA31/AZ31),BA31/AZ31," - ")</f>
        <v>1.3080939947780679</v>
      </c>
      <c r="BE31" s="224">
        <f>IF(ISNUMBER(BB31/BA31),BB31/BA31, " - ")</f>
        <v>1.1457085828343314</v>
      </c>
      <c r="BF31" s="224">
        <f>IF(ISNUMBER(BC31/BA31),BC31/BA31, " - ")</f>
        <v>0.28942115768463073</v>
      </c>
      <c r="BG31" s="145">
        <f>IF(ISNUMBER((AY31+AZ31)/BA31),(AY31+AZ31)/BA31," - ")</f>
        <v>2.1666666666666665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Pkqw3RIr0cyJNC0/HJc/x4JtE8DCE0YlPkRiEpnaKvbYM1r36RFo2VIk4AgWhPEvxOcgm7Z0tWAmjbk4qnVJg==" saltValue="EdO0FSY1PXeAS8j3X9LP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YqGSTLpCJkTgN+R500Gqmzb5pPeio0+CZmR3lzSSzYWgBr5bD1fgRbUrWH8btjI+aPGTY1lLxjvCNw5ZFcfQw==" saltValue="h1072QppSU9ScLW2DRcK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BERGARA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24</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1.0769230769230769</v>
      </c>
      <c r="BH10" s="764">
        <f>IF(ISNUMBER(((Datos!L10/Datos!K10)*11)/factor_trimestre),((Datos!L10/Datos!K10)*11)/factor_trimestre," - ")</f>
        <v>5.1428571428571432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0.21428571428571427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87</v>
      </c>
      <c r="O12" s="549"/>
      <c r="P12" s="549"/>
      <c r="Q12" s="547">
        <f>IF(ISNUMBER(Datos!P12),Datos!P12,0)</f>
        <v>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980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0.88636363636363635</v>
      </c>
      <c r="BH12" s="764">
        <f>IF(ISNUMBER(((IF(J_V="SI",Datos!L12/Datos!K12,(Datos!L12+Datos!AB12)/(Datos!K12+Datos!AA12)))*11)/factor_trimestre),((IF(J_V="SI",Datos!L12/Datos!K12,(Datos!L12+Datos!AB12)/(Datos!K12+Datos!AA12)))*11)/factor_trimestre," - ")</f>
        <v>4.5692307692307699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-2.0366598778004071E-3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87</v>
      </c>
      <c r="O14" s="1199">
        <f t="shared" si="1"/>
        <v>0</v>
      </c>
      <c r="P14" s="1199">
        <f t="shared" si="1"/>
        <v>0</v>
      </c>
      <c r="Q14" s="1198">
        <f t="shared" si="1"/>
        <v>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85</v>
      </c>
      <c r="AD14" s="1198">
        <f t="shared" si="2"/>
        <v>0</v>
      </c>
      <c r="AE14" s="1198">
        <f t="shared" si="2"/>
        <v>0</v>
      </c>
      <c r="AF14" s="1198">
        <f t="shared" si="2"/>
        <v>24</v>
      </c>
      <c r="AG14" s="1198">
        <f t="shared" si="2"/>
        <v>0</v>
      </c>
      <c r="AH14" s="1198">
        <f t="shared" si="2"/>
        <v>34</v>
      </c>
      <c r="AI14" s="1198">
        <f t="shared" si="2"/>
        <v>0</v>
      </c>
      <c r="AJ14" s="1198">
        <f t="shared" si="2"/>
        <v>0</v>
      </c>
      <c r="AK14" s="1198">
        <f t="shared" si="2"/>
        <v>0</v>
      </c>
      <c r="AL14" s="1198">
        <f t="shared" si="2"/>
        <v>0</v>
      </c>
      <c r="AM14" s="1198">
        <f t="shared" si="2"/>
        <v>997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142</v>
      </c>
      <c r="BE14" s="1198">
        <f t="shared" si="2"/>
        <v>0</v>
      </c>
      <c r="BF14" s="1198">
        <f t="shared" si="2"/>
        <v>0</v>
      </c>
      <c r="BG14" s="1198">
        <f>IF(ISNUMBER(Datos!K14/Datos!J14),Datos!K14/Datos!J14," - ")</f>
        <v>0.83879781420765032</v>
      </c>
      <c r="BH14" s="1202">
        <f>IF(ISNUMBER(((Datos!L14/Datos!K14)*11)/factor_trimestre),((Datos!L14/Datos!K14)*11)/factor_trimestre," - ")</f>
        <v>5.7068403908794787</v>
      </c>
      <c r="BI14" s="1198">
        <f>IF(ISNUMBER('Resol  Asuntos'!D14/NºAsuntos!G14),'Resol  Asuntos'!D14/NºAsuntos!G14," - ")</f>
        <v>0.23514851485148514</v>
      </c>
      <c r="BJ14" s="1198" t="str">
        <f>IF(ISNUMBER(Datos!CI14/Datos!CJ14),Datos!CI14/Datos!CJ14," - ")</f>
        <v xml:space="preserve"> - </v>
      </c>
      <c r="BK14" s="1198">
        <f>SUBTOTAL(9,BK8:BK13)</f>
        <v>0</v>
      </c>
      <c r="BL14" s="1198">
        <f>IF(ISNUMBER((I14-AB14+L14)/(F14)),(I14-AB14+L14)/(F14)," - ")</f>
        <v>-0.56000000000000005</v>
      </c>
      <c r="BM14" s="1203">
        <f>SUBTOTAL(9,BM9:BM13)</f>
        <v>0.21224905440791386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668</v>
      </c>
      <c r="G17" s="743">
        <f>IF(ISNUMBER(IF(D_I="SI",Datos!I17,Datos!I17+Datos!AC17)),IF(D_I="SI",Datos!I17,Datos!I17+Datos!AC17)," - ")</f>
        <v>671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368</v>
      </c>
      <c r="AC17" s="240">
        <f>IF(ISNUMBER(Datos!Q17),Datos!Q17," - ")</f>
        <v>36</v>
      </c>
      <c r="AD17" s="374"/>
      <c r="AE17" s="562"/>
      <c r="AF17" s="741">
        <f>IF(ISNUMBER(IF(D_I="SI",Datos!L17,Datos!L17+Datos!AF17)),IF(D_I="SI",Datos!L17,Datos!L17+Datos!AF17)," - ")</f>
        <v>693</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207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0.93638676844783719</v>
      </c>
      <c r="BH17" s="764">
        <f>IF(ISNUMBER(((IF(D_I="SI",Datos!L17/Datos!K17,(Datos!L17+Datos!AF17)/(Datos!K17+Datos!AE17)))*11)/factor_trimestre),((IF(D_I="SI",Datos!L17/Datos!K17,(Datos!L17+Datos!AF17)/(Datos!K17+Datos!AE17)))*11)/factor_trimestre," - ")</f>
        <v>5.6494565217391299</v>
      </c>
      <c r="BI17" s="266">
        <f>IF(ISNUMBER('Resol  Asuntos'!D17/NºAsuntos!G17),'Resol  Asuntos'!D17/NºAsuntos!G17," - ")</f>
        <v>0.25815217391304346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86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v>
      </c>
      <c r="BH18" s="764">
        <f>IF(ISNUMBER(((IF(D_I="SI",Datos!L18/Datos!K18,(Datos!L18+Datos!AF18)/(Datos!K18+Datos!AE18)))*11)/factor_trimestre),((IF(D_I="SI",Datos!L18/Datos!K18,(Datos!L18+Datos!AF18)/(Datos!K18+Datos!AE18)))*11)/factor_trimestre," - ")</f>
        <v>5.2653061224489797</v>
      </c>
      <c r="BI18" s="763">
        <f>IF(ISNUMBER('Resol  Asuntos'!D18/NºAsuntos!G18),'Resol  Asuntos'!D18/NºAsuntos!G18," - ")</f>
        <v>0.10204081632653061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668</v>
      </c>
      <c r="G23" s="1197">
        <f>SUBTOTAL(9,G16:G22)</f>
        <v>765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417</v>
      </c>
      <c r="AC23" s="1198">
        <f t="shared" si="5"/>
        <v>36</v>
      </c>
      <c r="AD23" s="1198">
        <f t="shared" si="5"/>
        <v>0</v>
      </c>
      <c r="AE23" s="1198">
        <f t="shared" si="5"/>
        <v>0</v>
      </c>
      <c r="AF23" s="1198">
        <f t="shared" si="5"/>
        <v>779</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246</v>
      </c>
      <c r="BE23" s="1198">
        <f t="shared" si="5"/>
        <v>0</v>
      </c>
      <c r="BF23" s="1198">
        <f t="shared" si="5"/>
        <v>0</v>
      </c>
      <c r="BG23" s="1198">
        <f>IF(ISNUMBER(Datos!K23/Datos!J23),Datos!K23/Datos!J23," - ")</f>
        <v>0.94130925507900676</v>
      </c>
      <c r="BH23" s="1202">
        <f>IF(ISNUMBER(((Datos!L23/Datos!K23)*11)/factor_trimestre),((Datos!L23/Datos!K23)*11)/factor_trimestre," - ")</f>
        <v>5.6043165467625897</v>
      </c>
      <c r="BI23" s="1198">
        <f>SUBTOTAL(9,BI16:BI22)</f>
        <v>0.36019299023957407</v>
      </c>
      <c r="BJ23" s="1198">
        <f>SUBTOTAL(9,BJ16:BJ22)</f>
        <v>0</v>
      </c>
      <c r="BK23" s="1198">
        <f>SUBTOTAL(9,BK16:BK22)</f>
        <v>0</v>
      </c>
      <c r="BL23" s="1198">
        <f>IF(ISNUMBER((I23-AB23+L23)/(F23)),(I23-AB23+L23)/(F23)," - ")</f>
        <v>-0.62425149700598803</v>
      </c>
      <c r="BM23" s="1205">
        <f>IF(ISNUMBER((Datos!P23-Datos!Q23)/(Datos!R23-Datos!P23+Datos!Q23)),(Datos!P23-Datos!Q23)/(Datos!R23-Datos!P23+Datos!Q23)," - ")</f>
        <v>7.5630252100840331E-2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693</v>
      </c>
      <c r="G31" s="1117">
        <f t="shared" si="18"/>
        <v>790</v>
      </c>
      <c r="H31" s="1119">
        <f t="shared" si="18"/>
        <v>0</v>
      </c>
      <c r="I31" s="1117">
        <f t="shared" si="18"/>
        <v>0</v>
      </c>
      <c r="J31" s="1119">
        <f t="shared" si="18"/>
        <v>0</v>
      </c>
      <c r="K31" s="1119">
        <f t="shared" si="18"/>
        <v>0</v>
      </c>
      <c r="L31" s="1180">
        <f t="shared" si="18"/>
        <v>0</v>
      </c>
      <c r="M31" s="1180">
        <f t="shared" si="18"/>
        <v>0</v>
      </c>
      <c r="N31" s="1180">
        <f t="shared" si="18"/>
        <v>87</v>
      </c>
      <c r="O31" s="1180">
        <f t="shared" si="18"/>
        <v>0</v>
      </c>
      <c r="P31" s="1180">
        <f t="shared" si="18"/>
        <v>0</v>
      </c>
      <c r="Q31" s="1119">
        <f t="shared" si="18"/>
        <v>131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431</v>
      </c>
      <c r="AC31" s="1118">
        <f t="shared" si="19"/>
        <v>121</v>
      </c>
      <c r="AD31" s="1118">
        <f t="shared" si="19"/>
        <v>0</v>
      </c>
      <c r="AE31" s="1118">
        <f t="shared" si="19"/>
        <v>0</v>
      </c>
      <c r="AF31" s="1125">
        <f t="shared" si="19"/>
        <v>803</v>
      </c>
      <c r="AG31" s="1125">
        <f t="shared" si="19"/>
        <v>0</v>
      </c>
      <c r="AH31" s="1125">
        <f t="shared" si="19"/>
        <v>34</v>
      </c>
      <c r="AI31" s="1125">
        <f t="shared" si="19"/>
        <v>0</v>
      </c>
      <c r="AJ31" s="1118">
        <f t="shared" si="19"/>
        <v>0</v>
      </c>
      <c r="AK31" s="1125">
        <f t="shared" si="19"/>
        <v>0</v>
      </c>
      <c r="AL31" s="1125">
        <f t="shared" si="19"/>
        <v>0</v>
      </c>
      <c r="AM31" s="1125">
        <f t="shared" si="19"/>
        <v>1125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195</v>
      </c>
      <c r="BD31" s="1117">
        <f t="shared" si="19"/>
        <v>388</v>
      </c>
      <c r="BE31" s="1117">
        <f t="shared" si="19"/>
        <v>0</v>
      </c>
      <c r="BF31" s="1127">
        <f t="shared" si="19"/>
        <v>0</v>
      </c>
      <c r="BG31" s="1223">
        <f>IF(ISNUMBER(Datos!K31/Datos!J31),Datos!K31/Datos!J31," - ")</f>
        <v>0.89493201483312734</v>
      </c>
      <c r="BH31" s="1223">
        <f>IF(ISNUMBER(((Datos!L31/Datos!K31)*11)/factor_trimestre),((Datos!L31/Datos!K31)*11)/factor_trimestre," - ")</f>
        <v>5.6477900552486195</v>
      </c>
      <c r="BI31" s="1103">
        <f>IF(ISNUMBER(Datos!J31/Datos!I31),Datos!J31/Datos!I31," - ")</f>
        <v>0.62135176651305679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-0.62193362193362189</v>
      </c>
      <c r="BM31" s="1188">
        <f>IF(ISNUMBER((Datos!P31-Datos!Q31+R31)/(Datos!R31-Datos!P31+Datos!Q31-R31)),(Datos!P31-Datos!Q31+R31)/(Datos!R31-Datos!P31+Datos!Q31-R31)," - ")</f>
        <v>8.9686098654708519E-3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338.68333292324854</v>
      </c>
      <c r="G33" s="674">
        <f>IF(ISNUMBER(STDEV(G8:G30)),STDEV(G8:G30),"-")</f>
        <v>338.85184288796694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185.27315741127441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50.306915173619167</v>
      </c>
      <c r="BD33" s="673"/>
      <c r="BE33" s="673">
        <f>IF(ISNUMBER(STDEV(BE8:BE30)),STDEV(BE8:BE30),"-")</f>
        <v>0</v>
      </c>
      <c r="BF33" s="678">
        <f>IF(ISNUMBER(STDEV(BF8:BF30)),STDEV(BF8:BF30),"-")</f>
        <v>0</v>
      </c>
      <c r="BG33" s="1052">
        <f>IF(ISNUMBER(STDEV(BG8:BG30)),STDEV(BG8:BG30),"-")</f>
        <v>8.1751120846985353E-2</v>
      </c>
      <c r="BH33" s="1058">
        <f>IF(ISNUMBER(STDEV(BH8:BH30)),STDEV(BH8:BH30),"-")</f>
        <v>0.43289592085638584</v>
      </c>
      <c r="BI33" s="273">
        <f>IF(ISNUMBER(STDEV(BI8:BI30)),STDEV(BI8:BI30),"-")</f>
        <v>0.10618716872502067</v>
      </c>
      <c r="BJ33" s="244" t="str">
        <f>IF(ISNUMBER(BL33/BM33),BL33/BM33," - ")</f>
        <v xml:space="preserve"> - </v>
      </c>
      <c r="BK33" s="709"/>
      <c r="BL33" s="681">
        <f>IF(ISNUMBER(STDEV(BL8:BL30)),STDEV(BL8:BL30),"-")</f>
        <v>4.5432669234321259E-2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S+CHvoSobwnm1tzLCPNvYvv555ZxIl+gZMzSmIL2CWjyIJV1NJwvhn+bbedd4R6EAN49ExFxrCvIpaGiTD+/A==" saltValue="DPuiP0FUKgBqmPU0U61Z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BERGARA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24</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5.1428571428571432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0.21428571428571427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980</v>
      </c>
      <c r="AF12" s="693" t="str">
        <f>IF(ISNUMBER(Datos!BV12),Datos!BV12," - ")</f>
        <v xml:space="preserve"> - </v>
      </c>
      <c r="AG12" s="552" t="str">
        <f>IF(ISNUMBER(Datos!DV12),Datos!DV12," - ")</f>
        <v xml:space="preserve"> - </v>
      </c>
      <c r="AH12" s="553"/>
      <c r="AI12" s="554"/>
      <c r="AJ12" s="552">
        <f>IF(ISNUMBER(Datos!M12),Datos!M12," - ")</f>
        <v>93</v>
      </c>
      <c r="AK12" s="693">
        <f>IF(ISNUMBER(Datos!N12),Datos!N12," - ")</f>
        <v>142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4.5692307692307699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-2.0366598778004071E-3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85</v>
      </c>
      <c r="AA14" s="1199">
        <f t="shared" si="3"/>
        <v>24</v>
      </c>
      <c r="AB14" s="1199">
        <f t="shared" si="3"/>
        <v>0</v>
      </c>
      <c r="AC14" s="1199">
        <f t="shared" si="3"/>
        <v>0</v>
      </c>
      <c r="AD14" s="1199">
        <f t="shared" si="3"/>
        <v>0</v>
      </c>
      <c r="AE14" s="1199">
        <f t="shared" si="3"/>
        <v>997</v>
      </c>
      <c r="AF14" s="1211">
        <f t="shared" si="3"/>
        <v>0</v>
      </c>
      <c r="AG14" s="1211">
        <f t="shared" si="3"/>
        <v>0</v>
      </c>
      <c r="AH14" s="1211">
        <f t="shared" si="3"/>
        <v>0</v>
      </c>
      <c r="AI14" s="1211">
        <f t="shared" si="3"/>
        <v>0</v>
      </c>
      <c r="AJ14" s="1211">
        <f t="shared" si="3"/>
        <v>95</v>
      </c>
      <c r="AK14" s="1211">
        <f t="shared" si="3"/>
        <v>142</v>
      </c>
      <c r="AL14" s="1211">
        <f t="shared" si="3"/>
        <v>0</v>
      </c>
      <c r="AM14" s="1211">
        <f t="shared" si="3"/>
        <v>0</v>
      </c>
      <c r="AN14" s="1211">
        <f t="shared" si="3"/>
        <v>0</v>
      </c>
      <c r="AO14" s="1203">
        <f>IF(ISNUMBER(((NºAsuntos!I14/NºAsuntos!G14)*11)/factor_trimestre),((NºAsuntos!I14/NºAsuntos!G14)*11)/factor_trimestre," - ")</f>
        <v>4.5891089108910892</v>
      </c>
      <c r="AP14" s="1213" t="str">
        <f>IF(ISNUMBER(Datos!CI14/Datos!CJ14),Datos!CI14/Datos!CJ14," - ")</f>
        <v xml:space="preserve"> - </v>
      </c>
      <c r="AQ14" s="1236">
        <f t="shared" ref="AQ14:AV14" si="4">SUBTOTAL(9,AQ9:AQ13)</f>
        <v>0</v>
      </c>
      <c r="AR14" s="1236">
        <f t="shared" si="4"/>
        <v>0.21224905440791386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668</v>
      </c>
      <c r="G17" s="552">
        <f>IF(ISNUMBER(IF(D_I="SI",Datos!I17,Datos!I17+Datos!AC17)),IF(D_I="SI",Datos!I17,Datos!I17+Datos!AC17)," - ")</f>
        <v>671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368</v>
      </c>
      <c r="Z17" s="805">
        <f>IF(ISNUMBER(Datos!Q17),Datos!Q17," - ")</f>
        <v>36</v>
      </c>
      <c r="AA17" s="551">
        <f>IF(ISNUMBER(IF(D_I="SI",Datos!L17,Datos!L17+Datos!AF17)),IF(D_I="SI",Datos!L17,Datos!L17+Datos!AF17)," - ")</f>
        <v>693</v>
      </c>
      <c r="AB17" s="549"/>
      <c r="AC17" s="549"/>
      <c r="AD17" s="563"/>
      <c r="AE17" s="563">
        <f>IF(ISNUMBER(Datos!R17),Datos!R17," - ")</f>
        <v>126</v>
      </c>
      <c r="AF17" s="693" t="str">
        <f>IF(ISNUMBER(Datos!BV17),Datos!BV17," - ")</f>
        <v xml:space="preserve"> - </v>
      </c>
      <c r="AG17" s="552"/>
      <c r="AH17" s="553"/>
      <c r="AI17" s="554"/>
      <c r="AJ17" s="552">
        <f>IF(ISNUMBER(Datos!M17),Datos!M17," - ")</f>
        <v>95</v>
      </c>
      <c r="AK17" s="693">
        <f>IF(ISNUMBER(Datos!N17),Datos!N17," - ")</f>
        <v>207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5.6494565217391299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86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5.2653061224489797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668</v>
      </c>
      <c r="G23" s="1197">
        <f>SUBTOTAL(9,G16:G22)</f>
        <v>765</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417</v>
      </c>
      <c r="Z23" s="1240">
        <f t="shared" si="6"/>
        <v>36</v>
      </c>
      <c r="AA23" s="1240">
        <f t="shared" si="6"/>
        <v>779</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100</v>
      </c>
      <c r="AK23" s="1240">
        <f t="shared" si="6"/>
        <v>246</v>
      </c>
      <c r="AL23" s="1240">
        <f t="shared" si="6"/>
        <v>0</v>
      </c>
      <c r="AM23" s="1240">
        <f t="shared" si="6"/>
        <v>0</v>
      </c>
      <c r="AN23" s="1240">
        <f t="shared" si="6"/>
        <v>0</v>
      </c>
      <c r="AO23" s="1242">
        <f>IF(ISNUMBER(((NºAsuntos!I23/NºAsuntos!G23)*11)/factor_trimestre),((NºAsuntos!I23/NºAsuntos!G23)*11)/factor_trimestre," - ")</f>
        <v>5.6043165467625897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693</v>
      </c>
      <c r="G31" s="1117">
        <f t="shared" si="12"/>
        <v>790</v>
      </c>
      <c r="H31" s="1118">
        <f t="shared" si="12"/>
        <v>0</v>
      </c>
      <c r="I31" s="1117">
        <f t="shared" si="12"/>
        <v>0</v>
      </c>
      <c r="J31" s="1119">
        <f t="shared" si="12"/>
        <v>0</v>
      </c>
      <c r="K31" s="1117">
        <f t="shared" si="12"/>
        <v>0</v>
      </c>
      <c r="L31" s="1120">
        <f t="shared" si="12"/>
        <v>0</v>
      </c>
      <c r="M31" s="1117">
        <f t="shared" si="12"/>
        <v>0</v>
      </c>
      <c r="N31" s="1118">
        <f t="shared" si="12"/>
        <v>131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431</v>
      </c>
      <c r="Z31" s="1124">
        <f t="shared" si="13"/>
        <v>121</v>
      </c>
      <c r="AA31" s="1125">
        <f t="shared" si="13"/>
        <v>803</v>
      </c>
      <c r="AB31" s="1125">
        <f t="shared" si="13"/>
        <v>0</v>
      </c>
      <c r="AC31" s="1125">
        <f t="shared" si="13"/>
        <v>0</v>
      </c>
      <c r="AD31" s="1126">
        <f t="shared" si="13"/>
        <v>0</v>
      </c>
      <c r="AE31" s="1126">
        <f t="shared" si="13"/>
        <v>1125</v>
      </c>
      <c r="AF31" s="1127">
        <f t="shared" si="13"/>
        <v>0</v>
      </c>
      <c r="AG31" s="1128">
        <f t="shared" si="13"/>
        <v>0</v>
      </c>
      <c r="AH31" s="1129">
        <f t="shared" si="13"/>
        <v>0</v>
      </c>
      <c r="AI31" s="1127">
        <f t="shared" si="13"/>
        <v>0</v>
      </c>
      <c r="AJ31" s="1117">
        <f t="shared" si="13"/>
        <v>195</v>
      </c>
      <c r="AK31" s="1117">
        <f t="shared" si="13"/>
        <v>388</v>
      </c>
      <c r="AL31" s="1117">
        <f t="shared" si="13"/>
        <v>0</v>
      </c>
      <c r="AM31" s="1130">
        <f t="shared" si="13"/>
        <v>0</v>
      </c>
      <c r="AN31" s="1120">
        <f>IF(ISNUMBER(Datos!K31/Datos!J31),Datos!K31/Datos!J31," - ")</f>
        <v>0.89493201483312734</v>
      </c>
      <c r="AO31" s="1120">
        <f>IF(ISNUMBER(FIND("06",Criterios!A8,1)),(IF(ISNUMBER(((Datos!R31/Datos!Q31)*11)/factor_trimestre),((Datos!R31/Datos!Q31)*11)/factor_trimestre," - ")),(IF(ISNUMBER(((Datos!L31/Datos!K31)*11)/factor_trimestre),((Datos!L31/Datos!K31)*11)/factor_trimestre," - ")))</f>
        <v>5.6477900552486195</v>
      </c>
      <c r="AP31" s="1131" t="str">
        <f>IF(ISNUMBER(Datos!CI31/Datos!CJ31),Datos!CI31/Datos!CJ31," - ")</f>
        <v xml:space="preserve"> - </v>
      </c>
      <c r="AQ31" s="1131">
        <f>IF(OR(ISNUMBER(FIND("01",Criterios!A8,1)),ISNUMBER(FIND("02",Criterios!A8,1)),ISNUMBER(FIND("03",Criterios!A8,1)),ISNUMBER(FIND("04",Criterios!A8,1))),(J31-Y31+K31)/(F31-K31),(I31-Y31+K31)/(F31-K31))</f>
        <v>-0.62193362193362189</v>
      </c>
      <c r="AR31" s="1131">
        <f>IF(ISNUMBER((Datos!P31-Datos!Q31+O31)/(Datos!R31-Datos!P31+Datos!Q31-O31)),(Datos!P31-Datos!Q31+O31)/(Datos!R31-Datos!P31+Datos!Q31-O31)," - ")</f>
        <v>8.9686098654708519E-3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338.68333292324854</v>
      </c>
      <c r="G33" s="674">
        <f>IF(ISNUMBER(STDEV(G8:G30)),STDEV(G8:G30),"-")</f>
        <v>338.85184288796694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50.306915173619167</v>
      </c>
      <c r="AK33" s="276"/>
      <c r="AL33" s="276">
        <f>IF(ISNUMBER(STDEV(AL8:AL30)),STDEV(AL8:AL30),"-")</f>
        <v>0</v>
      </c>
      <c r="AM33" s="278">
        <f>IF(ISNUMBER(STDEV(AM8:AM30)),STDEV(AM8:AM30),"-")</f>
        <v>0</v>
      </c>
      <c r="AN33" s="660">
        <f>IF(ISNUMBER(STDEV(AN8:AN30)),STDEV(AN8:AN30),"-")</f>
        <v>0</v>
      </c>
      <c r="AO33" s="661">
        <f>IF(ISNUMBER(STDEV(AO8:AO30)),STDEV(AO8:AO30),"-")</f>
        <v>0.47329467740721332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bT3f97sK10hNMmPOh9mOxCjqt+34lOqTIRJeg6+n1jcjJezFIPbKQouX7bai/EZg28BSZtEt0x6DYb8wUeWA==" saltValue="FRnAPARHbSaTozFlP7YO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R+I64nMF5xIVoR2TEC2v6S1MH9aSvDzdb6En873LL7rg9R/Q+f5d68OfyFdfYXS2PjsuFTf4FPMdxB9gswnSQ==" saltValue="FB34pF4+s685yD65oBCJ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1SZxiO9IWut4/k+SL/p0+YyoR2r65UEvLRl9cZVv74KdU7yUuY5m1Xfkh8JE4U/f0pJBwQsGmFQJEYv+Vb/Rw==" saltValue="VL9Zav0vO2WAkWBTVAVQ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BERGARA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0.23514851485148514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0.16627510943743073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ljK4Qq6Lu29jYBykmJJV3AUYNDEaON0xSE5BFM2oobwwAGKWtVIkms8S6byQdUg9av3Am4Fdpa304M1oFYDMg==" saltValue="J4Pn42ZLyGV6P/B8+mKL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tnN9O3ST4mAiGHrDS71abUfSw4HrKCV706nU2/6OyexCtcx3RYLF1hvBS5TezEnCwyTsDGTY9ZTPByMPERwIQ==" saltValue="hfeTbGd3K30RClnA/nGh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BERGARA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13</v>
      </c>
      <c r="F10" s="452">
        <f>IF(ISNUMBER(E10/B10),E10/B10," - ")</f>
        <v>13</v>
      </c>
      <c r="G10" s="451">
        <f>IF(ISNUMBER(Datos!K10),Datos!K10," - ")</f>
        <v>14</v>
      </c>
      <c r="H10" s="452">
        <f>IF(ISNUMBER(G10/B10),G10/B10," - ")</f>
        <v>14</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556</v>
      </c>
      <c r="D12" s="452">
        <f>IF(ISNUMBER(C12/Datos!BH12),C12/Datos!BH12," - ")</f>
        <v>139</v>
      </c>
      <c r="E12" s="451">
        <f>IF(ISNUMBER(IF(J_V="SI",Datos!J12,Datos!J12+Datos!Z12)),IF(J_V="SI",Datos!J12,Datos!J12+Datos!Z12)," - ")</f>
        <v>440</v>
      </c>
      <c r="F12" s="452">
        <f>IF(ISNUMBER(E12/B12),E12/B12," - ")</f>
        <v>110</v>
      </c>
      <c r="G12" s="451">
        <f>IF(ISNUMBER(IF(J_V="SI",Datos!K12,Datos!K12+Datos!AA12)),IF(J_V="SI",Datos!K12,Datos!K12+Datos!AA12)," - ")</f>
        <v>390</v>
      </c>
      <c r="H12" s="452">
        <f>IF(ISNUMBER(G12/B12),G12/B12," - ")</f>
        <v>97.5</v>
      </c>
      <c r="I12" s="451">
        <f>IF(ISNUMBER(IF(J_V="SI",Datos!L12,Datos!L12+Datos!AB12)),IF(J_V="SI",Datos!L12,Datos!L12+Datos!AB12)," - ")</f>
        <v>594</v>
      </c>
      <c r="J12" s="452">
        <f>IF(ISNUMBER(I12/B12),I12/B12," - ")</f>
        <v>148.5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581</v>
      </c>
      <c r="D14" s="1147" t="str">
        <f>IF(ISNUMBER(C14/Datos!BI14),C14/Datos!BI14," - ")</f>
        <v xml:space="preserve"> - </v>
      </c>
      <c r="E14" s="1146">
        <f>SUBTOTAL(9,E8:E13)</f>
        <v>453</v>
      </c>
      <c r="F14" s="1147">
        <f>IF(ISNUMBER(E14/B14),E14/B14," - ")</f>
        <v>113.25</v>
      </c>
      <c r="G14" s="1146">
        <f>SUBTOTAL(9,G8:G13)</f>
        <v>404</v>
      </c>
      <c r="H14" s="1147">
        <f>IF(ISNUMBER(G14/B14),G14/B14," - ")</f>
        <v>101</v>
      </c>
      <c r="I14" s="1146">
        <f>SUBTOTAL(9,I8:I13)</f>
        <v>618</v>
      </c>
      <c r="J14" s="1147">
        <f>IF(ISNUMBER(I14/B14),I14/B14," - ")</f>
        <v>154.5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671</v>
      </c>
      <c r="D17" s="452">
        <f>IF(ISNUMBER(C17/Datos!BH17),C17/Datos!BH17," - ")</f>
        <v>167.75</v>
      </c>
      <c r="E17" s="451">
        <f>IF(ISNUMBER(IF(D_I="SI",Datos!J17,Datos!J17+Datos!AD17)),IF(D_I="SI",Datos!J17,Datos!J17+Datos!AD17)," - ")</f>
        <v>393</v>
      </c>
      <c r="F17" s="452">
        <f>IF(ISNUMBER(E17/B17),E17/B17," - ")</f>
        <v>98.25</v>
      </c>
      <c r="G17" s="451">
        <f>IF(ISNUMBER(IF(D_I="SI",Datos!K17,Datos!K17+Datos!AE17)),IF(D_I="SI",Datos!K17,Datos!K17+Datos!AE17)," - ")</f>
        <v>368</v>
      </c>
      <c r="H17" s="452">
        <f>IF(ISNUMBER(G17/B17),G17/B17," - ")</f>
        <v>92</v>
      </c>
      <c r="I17" s="451">
        <f>IF(ISNUMBER(IF(D_I="SI",Datos!L17,Datos!L17+Datos!AF17)),IF(D_I="SI",Datos!L17,Datos!L17+Datos!AF17)," - ")</f>
        <v>693</v>
      </c>
      <c r="J17" s="452">
        <f>IF(ISNUMBER(I17/B17),I17/B17," - ")</f>
        <v>173.25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50</v>
      </c>
      <c r="F18" s="452">
        <f>IF(ISNUMBER(E18/B18),E18/B18," - ")</f>
        <v>50</v>
      </c>
      <c r="G18" s="451">
        <f>IF(ISNUMBER(IF(D_I="SI",Datos!K18,Datos!K18+Datos!AE18)),IF(D_I="SI",Datos!K18,Datos!K18+Datos!AE18)," - ")</f>
        <v>49</v>
      </c>
      <c r="H18" s="452">
        <f>IF(ISNUMBER(G18/B18),G18/B18," - ")</f>
        <v>49</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765</v>
      </c>
      <c r="D23" s="1147" t="str">
        <f>IF(ISNUMBER(C23/Datos!BI23),C23/Datos!BI23," - ")</f>
        <v xml:space="preserve"> - </v>
      </c>
      <c r="E23" s="1146">
        <f>SUBTOTAL(9,E15:E22)</f>
        <v>443</v>
      </c>
      <c r="F23" s="1147">
        <f>IF(ISNUMBER(E23/B23),E23/B23," - ")</f>
        <v>110.75</v>
      </c>
      <c r="G23" s="1146">
        <f>SUBTOTAL(9,G15:G22)</f>
        <v>417</v>
      </c>
      <c r="H23" s="1147">
        <f>IF(ISNUMBER(G23/B23),G23/B23," - ")</f>
        <v>104.25</v>
      </c>
      <c r="I23" s="1146">
        <f>SUBTOTAL(9,I15:I22)</f>
        <v>779</v>
      </c>
      <c r="J23" s="1147">
        <f>IF(ISNUMBER(I23/B23),I23/B23," - ")</f>
        <v>194.75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1346</v>
      </c>
      <c r="D31" s="1085" t="str">
        <f>IF(ISNUMBER(C31/Datos!BI31),C31/Datos!BI31," - ")</f>
        <v xml:space="preserve"> - </v>
      </c>
      <c r="E31" s="1084">
        <f>SUBTOTAL(9,E9:E30)</f>
        <v>896</v>
      </c>
      <c r="F31" s="1085">
        <f>IF(ISNUMBER(E31/B31),E31/B31," - ")</f>
        <v>224</v>
      </c>
      <c r="G31" s="1084">
        <f>SUBTOTAL(9,G9:G30)</f>
        <v>821</v>
      </c>
      <c r="H31" s="1085">
        <f>IF(ISNUMBER(G31/B31),G31/B31," - ")</f>
        <v>205.25</v>
      </c>
      <c r="I31" s="1084">
        <f>SUBTOTAL(9,I9:I30)</f>
        <v>1397</v>
      </c>
      <c r="J31" s="1085">
        <f>IF(ISNUMBER(I31/B31),I31/B31," - ")</f>
        <v>349.25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vsgtJe64STyR3MH+Gvcc1mSAAovACujQVjiVIChAYyYOguk2muDJXB1YckKTsUyfJM5cfAZpyAlLg9lyLlutA==" saltValue="Y2tkL3BOP/hx99ypIcz+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BERGARA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5.1428571428571432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4.5692307692307699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-2.0366598778004071E-3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85</v>
      </c>
      <c r="AE14" s="1257">
        <f t="shared" si="1"/>
        <v>0</v>
      </c>
      <c r="AF14" s="1257">
        <f t="shared" si="1"/>
        <v>24</v>
      </c>
      <c r="AG14" s="1257">
        <f t="shared" si="1"/>
        <v>0</v>
      </c>
      <c r="AH14" s="1257">
        <f t="shared" si="1"/>
        <v>980</v>
      </c>
      <c r="AI14" s="1257">
        <f t="shared" si="1"/>
        <v>0</v>
      </c>
      <c r="AJ14" s="1257">
        <f t="shared" si="1"/>
        <v>0</v>
      </c>
      <c r="AK14" s="1257">
        <f t="shared" si="1"/>
        <v>0</v>
      </c>
      <c r="AL14" s="1257">
        <f t="shared" si="1"/>
        <v>95</v>
      </c>
      <c r="AM14" s="1257">
        <f t="shared" si="1"/>
        <v>142</v>
      </c>
      <c r="AN14" s="1257">
        <f t="shared" si="1"/>
        <v>0</v>
      </c>
      <c r="AO14" s="1257">
        <f t="shared" si="1"/>
        <v>0</v>
      </c>
      <c r="AP14" s="1262">
        <f>IF(ISNUMBER(((Datos!L14/Datos!K14)*11)/factor_trimestre),((Datos!L14/Datos!K14)*11)/factor_trimestre," - ")</f>
        <v>5.7068403908794787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-0.56000000000000005</v>
      </c>
      <c r="AU14" s="1257" t="str">
        <f>IF(ISNUMBER((DatosP!#REF!-DatosP!#REF!+DatosP!#REF!)/(DatosP!#REF!+DatosP!#REF!-DatosP!#REF!-DatosP!#REF!)),(DatosP!#REF!-DatosP!#REF!+DatosP!#REF!)/(DatosP!#REF!+DatosP!#REF!-DatosP!#REF!-DatosP!#REF!)," - ")</f>
        <v xml:space="preserve"> - </v>
      </c>
      <c r="AV14" s="1263">
        <f>SUBTOTAL(9,AV9:AV13)</f>
        <v>-2.0366598778004071E-3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5.6043165467625897</v>
      </c>
      <c r="AQ23" s="1262">
        <f>IF(ISNUMBER(((Datos!M23/Datos!L23)*11)/factor_trimestre),((Datos!M23/Datos!L23)*11)/factor_trimestre," - ")</f>
        <v>0.38510911424903727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7.5630252100840331E-2</v>
      </c>
      <c r="AW23" s="1265">
        <f>IF(ISNUMBER((Datos!Q23-Datos!R23)/(Datos!S23-Datos!Q23+Datos!R23)),(Datos!Q23-Datos!R23)/(Datos!S23-Datos!Q23+Datos!R23)," - ")</f>
        <v>-0.10562571756601608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85</v>
      </c>
      <c r="AE31" s="1284">
        <f t="shared" si="9"/>
        <v>0</v>
      </c>
      <c r="AF31" s="1285">
        <f t="shared" si="9"/>
        <v>24</v>
      </c>
      <c r="AG31" s="1285">
        <f t="shared" si="9"/>
        <v>0</v>
      </c>
      <c r="AH31" s="1285">
        <f t="shared" si="9"/>
        <v>980</v>
      </c>
      <c r="AI31" s="1285">
        <f t="shared" si="9"/>
        <v>0</v>
      </c>
      <c r="AJ31" s="1286">
        <f t="shared" si="9"/>
        <v>0</v>
      </c>
      <c r="AK31" s="1286">
        <f t="shared" si="9"/>
        <v>0</v>
      </c>
      <c r="AL31" s="1278">
        <f t="shared" si="9"/>
        <v>95</v>
      </c>
      <c r="AM31" s="1278">
        <f t="shared" si="9"/>
        <v>142</v>
      </c>
      <c r="AN31" s="1278">
        <f t="shared" si="9"/>
        <v>0</v>
      </c>
      <c r="AO31" s="1278">
        <f t="shared" si="9"/>
        <v>0</v>
      </c>
      <c r="AP31" s="1278">
        <f>IF(ISNUMBER(((Datos!L31/Datos!K31)*11)/factor_trimestre),((Datos!L31/Datos!K31)*11)/factor_trimestre," - ")</f>
        <v>5.6477900552486195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-0.56000000000000005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8.9686098654708519E-3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48.293546842892646</v>
      </c>
      <c r="AM33" s="1006"/>
      <c r="AN33" s="1006">
        <f>IF(ISNUMBER(STDEV(AN8:AN30)),STDEV(AN8:AN30),"-")</f>
        <v>0</v>
      </c>
      <c r="AO33" s="1012">
        <f>IF(ISNUMBER(STDEV(AO8:AO30)),STDEV(AO8:AO30),"-")</f>
        <v>0</v>
      </c>
      <c r="AP33" s="1065">
        <f>IF(ISNUMBER(STDEV(AP8:AP30)),STDEV(AP8:AP30),"-")</f>
        <v>0.51930550247030338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kin9BTmeCQthH0QQlZ332I/Lg67LRmutKOMyH1WQH+W7VW0COaeXW5JDlVEbVWO6DLbns8C7mF8OYuOggGaaA==" saltValue="oS8Ny7QLpOQqyGGJIWZ/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BERGARA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VztTCpBoESUwl8gAz0mr4EoQqxw3uQtk0gQxchxf6JyACMvoXQoZe9u0tfq0D6Ac3yLN5Ti9T1DNpP2hPIktQ==" saltValue="tCSrFQIW/pZARcktaT3s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BERGARA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93</v>
      </c>
      <c r="E12" s="452">
        <f t="shared" si="0"/>
        <v>23.25</v>
      </c>
      <c r="F12" s="451">
        <f>IF(ISNUMBER(Datos!N12),Datos!N12," - ")</f>
        <v>142</v>
      </c>
      <c r="G12" s="452">
        <f t="shared" si="1"/>
        <v>35.5</v>
      </c>
      <c r="H12" s="451">
        <f>IF(ISNUMBER(Datos!O12),Datos!O12," - ")</f>
        <v>158</v>
      </c>
      <c r="I12" s="452">
        <f t="shared" si="2"/>
        <v>39.5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95</v>
      </c>
      <c r="E14" s="1147">
        <f t="shared" si="0"/>
        <v>19</v>
      </c>
      <c r="F14" s="1146">
        <f>SUBTOTAL(9,F9:F13)</f>
        <v>142</v>
      </c>
      <c r="G14" s="1147">
        <f t="shared" si="1"/>
        <v>28.4</v>
      </c>
      <c r="H14" s="1146">
        <f>SUBTOTAL(9,H9:H13)</f>
        <v>158</v>
      </c>
      <c r="I14" s="1147">
        <f>IF(ISNUMBER(H14/B14),H14/B14," - ")</f>
        <v>31.6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95</v>
      </c>
      <c r="E17" s="452">
        <f t="shared" si="3"/>
        <v>23.75</v>
      </c>
      <c r="F17" s="451">
        <f>IF(ISNUMBER(Datos!N17),Datos!N17," - ")</f>
        <v>207</v>
      </c>
      <c r="G17" s="452">
        <f t="shared" si="4"/>
        <v>51.75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100</v>
      </c>
      <c r="E23" s="1147">
        <f t="shared" si="3"/>
        <v>20</v>
      </c>
      <c r="F23" s="1146">
        <f>SUBTOTAL(9,F16:F22)</f>
        <v>246</v>
      </c>
      <c r="G23" s="1147">
        <f t="shared" si="4"/>
        <v>49.2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195</v>
      </c>
      <c r="E31" s="1085">
        <f>IF(ISNUMBER(D31/B31),D31/B31," - ")</f>
        <v>48.75</v>
      </c>
      <c r="F31" s="1084">
        <f>SUBTOTAL(9,F8:F30)</f>
        <v>388</v>
      </c>
      <c r="G31" s="1085">
        <f>IF(ISNUMBER(F31/B31),F31/B31," - ")</f>
        <v>97</v>
      </c>
      <c r="H31" s="1084">
        <f>SUBTOTAL(9,H8:H30)</f>
        <v>158</v>
      </c>
      <c r="I31" s="1085">
        <f>IF(ISNUMBER(H31/B31),H31/B31," - ")</f>
        <v>39.5</v>
      </c>
    </row>
    <row r="34" spans="1:1">
      <c r="A34" s="439" t="str">
        <f>Criterios!A4</f>
        <v>Fecha Informe: 05 may. 2023</v>
      </c>
    </row>
    <row r="39" spans="1:1">
      <c r="A39" s="462"/>
    </row>
  </sheetData>
  <sheetProtection algorithmName="SHA-512" hashValue="e1/f6Mhi6GYAzQRUjBIXtu8OOBXopQyYbmwc4SJrRAOxpsPaYhP5gd2RMASYmIXE9KmmXKnH2Je9cu1pVb2BKw==" saltValue="I3RgYZvZBwunv/Yr6kc/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BERGARA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83</v>
      </c>
      <c r="C12" s="489">
        <f>IF(ISNUMBER(Datos!Q12),Datos!Q12," - ")</f>
        <v>85</v>
      </c>
      <c r="D12" s="456">
        <f>IF(ISNUMBER(Datos!R12),Datos!R12," - ")</f>
        <v>980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v>
      </c>
      <c r="C14" s="1150">
        <f>SUBTOTAL(9,C9:C13)</f>
        <v>85</v>
      </c>
      <c r="D14" s="1148">
        <f>SUBTOTAL(9,D9:D13)</f>
        <v>997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36</v>
      </c>
      <c r="D17" s="456">
        <f>IF(ISNUMBER(Datos!R17),Datos!R17," - ")</f>
        <v>126</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36</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131</v>
      </c>
      <c r="C31" s="1089">
        <f>SUBTOTAL(9,C8:C30)</f>
        <v>121</v>
      </c>
      <c r="D31" s="1090">
        <f>SUBTOTAL(9,D8:D30)</f>
        <v>1125</v>
      </c>
    </row>
    <row r="32" spans="1:4" ht="7.5" customHeight="1"/>
    <row r="33" spans="1:1" ht="6" customHeight="1"/>
    <row r="34" spans="1:1">
      <c r="A34" s="439" t="str">
        <f>Criterios!A4</f>
        <v>Fecha Informe: 05 may. 2023</v>
      </c>
    </row>
    <row r="39" spans="1:1">
      <c r="A39" s="462"/>
    </row>
  </sheetData>
  <sheetProtection algorithmName="SHA-512" hashValue="btjOwgLwsCCtN20x2vSc0NsU4jdqOUtxw3p74eS1GNP94Jjcz4TYaTZpAoztlc/aWVf2XgoXY56LDqY4KFAbeA==" saltValue="k1B2uGUL23yrsBDxE5TZ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BERGARA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2.5714285714285716</v>
      </c>
      <c r="C10" s="515">
        <f>IF(ISNUMBER((Datos!J10-Datos!T10)/Datos!T10),(Datos!J10-Datos!T10)/Datos!T10," - ")</f>
        <v>0.625</v>
      </c>
      <c r="D10" s="515">
        <f>IF(ISNUMBER((Datos!K10-Datos!U10)/Datos!U10),(Datos!K10-Datos!U10)/Datos!U10," - ")</f>
        <v>1.3333333333333333</v>
      </c>
      <c r="E10" s="515">
        <f>IF(ISNUMBER((Datos!L10-Datos!V10)/Datos!V10),(Datos!L10-Datos!V10)/Datos!V10," - ")</f>
        <v>1.6666666666666667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0.43589743589743585</v>
      </c>
      <c r="I10" s="515">
        <f>IF(ISNUMBER(((NºAsuntos!I10/NºAsuntos!G10)-Datos!BE10)/Datos!BE10),((NºAsuntos!I10/NºAsuntos!G10)-Datos!BE10)/Datos!BE10," - ")</f>
        <v>0.14285714285714279</v>
      </c>
      <c r="J10" s="521">
        <f>IF(ISNUMBER((('Resol  Asuntos'!D10/NºAsuntos!G10)-Datos!BF10)/Datos!BF10),(('Resol  Asuntos'!D10/NºAsuntos!G10)-Datos!BF10)/Datos!BF10," - ")</f>
        <v>-0.14285714285714285</v>
      </c>
      <c r="K10" s="522">
        <f>IF(ISNUMBER((((NºAsuntos!C10+NºAsuntos!E10)/NºAsuntos!G10)-Datos!BG10)/Datos!BG10),(((NºAsuntos!C10+NºAsuntos!E10)/NºAsuntos!G10)-Datos!BG10)/Datos!BG10," - ")</f>
        <v>8.5714285714285771E-2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-0.10177705977382875</v>
      </c>
      <c r="C12" s="515">
        <f>IF(ISNUMBER(
   IF(J_V="SI",(Datos!J12-Datos!T12)/Datos!T12,(Datos!J12+Datos!Z12-(Datos!T12+Datos!AH12))/(Datos!T12+Datos!AH12))
     ),IF(J_V="SI",(Datos!J12-Datos!T12)/Datos!T12,(Datos!J12+Datos!Z12-(Datos!T12+Datos!AH12))/(Datos!T12+Datos!AH12))," - ")</f>
        <v>9.1743119266055051E-3</v>
      </c>
      <c r="D12" s="515">
        <f>IF(ISNUMBER(
   IF(J_V="SI",(Datos!K12-Datos!U12)/Datos!U12,(Datos!K12+Datos!AA12-(Datos!U12+Datos!AI12))/(Datos!U12+Datos!AI12))
     ),IF(J_V="SI",(Datos!K12-Datos!U12)/Datos!U12,(Datos!K12+Datos!AA12-(Datos!U12+Datos!AI12))/(Datos!U12+Datos!AI12))," - ")</f>
        <v>-0.27911275415896486</v>
      </c>
      <c r="E12" s="515">
        <f>IF(ISNUMBER(
   IF(J_V="SI",(Datos!L12-Datos!V12)/Datos!V12,(Datos!L12+Datos!AB12-(Datos!V12+Datos!AJ12))/(Datos!V12+Datos!AJ12))
     ),IF(J_V="SI",(Datos!L12-Datos!V12)/Datos!V12,(Datos!L12+Datos!AB12-(Datos!V12+Datos!AJ12))/(Datos!V12+Datos!AJ12))," - ")</f>
        <v>0.16699410609037327</v>
      </c>
      <c r="F12" s="515">
        <f>IF(ISNUMBER((Datos!M12-Datos!W12)/Datos!W12),(Datos!M12-Datos!W12)/Datos!W12," - ")</f>
        <v>-0.33571428571428569</v>
      </c>
      <c r="G12" s="516">
        <f>IF(ISNUMBER((Datos!N12-Datos!X12)/Datos!X12),(Datos!N12-Datos!X12)/Datos!X12," - ")</f>
        <v>-0.25654450261780104</v>
      </c>
      <c r="H12" s="514">
        <f>IF(ISNUMBER(((NºAsuntos!G12/NºAsuntos!E12)-Datos!BD12)/Datos!BD12),((NºAsuntos!G12/NºAsuntos!E12)-Datos!BD12)/Datos!BD12," - ")</f>
        <v>-0.2856662745757016</v>
      </c>
      <c r="I12" s="515">
        <f>IF(ISNUMBER(((NºAsuntos!I12/NºAsuntos!G12)-Datos!BE12)/Datos!BE12),((NºAsuntos!I12/NºAsuntos!G12)-Datos!BE12)/Datos!BE12," - ")</f>
        <v>0.61883028562792797</v>
      </c>
      <c r="J12" s="521">
        <f>IF(ISNUMBER((('Resol  Asuntos'!D12/NºAsuntos!G12)-Datos!BF12)/Datos!BF12),(('Resol  Asuntos'!D12/NºAsuntos!G12)-Datos!BF12)/Datos!BF12," - ")</f>
        <v>-0.32456705598066854</v>
      </c>
      <c r="K12" s="522">
        <f>IF(ISNUMBER((((NºAsuntos!C12+NºAsuntos!E12)/NºAsuntos!G12)-Datos!BG12)/Datos!BG12),(((NºAsuntos!C12+NºAsuntos!E12)/NºAsuntos!G12)-Datos!BG12)/Datos!BG12," - ")</f>
        <v>0.30960262486328827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-7.1884984025559109E-2</v>
      </c>
      <c r="C14" s="1152">
        <f>IF(ISNUMBER(
   IF(J_V="SI",(Datos!J14-Datos!T14)/Datos!T14,(Datos!J14+Datos!Z14-(Datos!T14+Datos!AH14))/(Datos!T14+Datos!AH14))
     ),IF(J_V="SI",(Datos!J14-Datos!T14)/Datos!T14,(Datos!J14+Datos!Z14-(Datos!T14+Datos!AH14))/(Datos!T14+Datos!AH14))," - ")</f>
        <v>2.0270270270270271E-2</v>
      </c>
      <c r="D14" s="1152">
        <f>IF(ISNUMBER(
   IF(J_V="SI",(Datos!K14-Datos!U14)/Datos!U14,(Datos!K14+Datos!AA14-(Datos!U14+Datos!AI14))/(Datos!U14+Datos!AI14))
     ),IF(J_V="SI",(Datos!K14-Datos!U14)/Datos!U14,(Datos!K14+Datos!AA14-(Datos!U14+Datos!AI14))/(Datos!U14+Datos!AI14))," - ")</f>
        <v>-0.26142595978062155</v>
      </c>
      <c r="E14" s="1152">
        <f>IF(ISNUMBER(
   IF(J_V="SI",(Datos!L14-Datos!V14)/Datos!V14,(Datos!L14+Datos!AB14-(Datos!V14+Datos!AJ14))/(Datos!V14+Datos!AJ14))
     ),IF(J_V="SI",(Datos!L14-Datos!V14)/Datos!V14,(Datos!L14+Datos!AB14-(Datos!V14+Datos!AJ14))/(Datos!V14+Datos!AJ14))," - ")</f>
        <v>0.19305019305019305</v>
      </c>
      <c r="F14" s="1153">
        <f>IF(ISNUMBER((Datos!M14-Datos!W14)/Datos!W14),(Datos!M14-Datos!W14)/Datos!W14," - ")</f>
        <v>-0.32624113475177308</v>
      </c>
      <c r="G14" s="1154">
        <f>IF(ISNUMBER((Datos!N14-Datos!X14)/Datos!X14),(Datos!N14-Datos!X14)/Datos!X14," - ")</f>
        <v>-0.26424870466321243</v>
      </c>
      <c r="H14" s="1154">
        <f>IF(ISNUMBER(((NºAsuntos!G14/NºAsuntos!E14)-Datos!BD14)/Datos!BD14),((NºAsuntos!G14/NºAsuntos!E14)-Datos!BD14)/Datos!BD14," - ")</f>
        <v>-0.27609961620882112</v>
      </c>
      <c r="I14" s="1154">
        <f>IF(ISNUMBER(((NºAsuntos!I14/NºAsuntos!G14)-Datos!BE14)/Datos!BE14),((NºAsuntos!I14/NºAsuntos!G14)-Datos!BE14)/Datos!BE14," - ")</f>
        <v>0.61534271187736533</v>
      </c>
      <c r="J14" s="1154">
        <f>IF(ISNUMBER((('Resol  Asuntos'!D14/NºAsuntos!G14)-Datos!BF14)/Datos!BF14),(('Resol  Asuntos'!D14/NºAsuntos!G14)-Datos!BF14)/Datos!BF14," - ")</f>
        <v>-0.3300716790429043</v>
      </c>
      <c r="K14" s="1154">
        <f>IF(ISNUMBER((((NºAsuntos!C14+NºAsuntos!E14)/NºAsuntos!G14)-Datos!BG14)/Datos!BG14),(((NºAsuntos!C14+NºAsuntos!E14)/NºAsuntos!G14)-Datos!BG14)/Datos!BG14," - ")</f>
        <v>0.30840658832238366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-6.1538461538461542E-2</v>
      </c>
      <c r="C17" s="515">
        <f>IF(ISNUMBER(
   IF(D_I="SI",(Datos!J17-Datos!T17)/Datos!T17,(Datos!J17+Datos!AD17-(Datos!T17+Datos!AL17))/(Datos!T17+Datos!AL17))
     ),IF(D_I="SI",(Datos!J17-Datos!T17)/Datos!T17,(Datos!J17+Datos!AD17-(Datos!T17+Datos!AL17))/(Datos!T17+Datos!AL17))," - ")</f>
        <v>0.45555555555555555</v>
      </c>
      <c r="D17" s="515">
        <f>IF(ISNUMBER(
   IF(D_I="SI",(Datos!K17-Datos!U17)/Datos!U17,(Datos!K17+Datos!AE17-(Datos!U17+Datos!AM17))/(Datos!U17+Datos!AM17))
     ),IF(D_I="SI",(Datos!K17-Datos!U17)/Datos!U17,(Datos!K17+Datos!AE17-(Datos!U17+Datos!AM17))/(Datos!U17+Datos!AM17))," - ")</f>
        <v>-6.5989847715736044E-2</v>
      </c>
      <c r="E17" s="515">
        <f>IF(ISNUMBER(
   IF(D_I="SI",(Datos!L17-Datos!V17)/Datos!V17,(Datos!L17+Datos!AF17-(Datos!V17+Datos!AN17))/(Datos!V17+Datos!AN17))
     ),IF(D_I="SI",(Datos!L17-Datos!V17)/Datos!V17,(Datos!L17+Datos!AF17-(Datos!V17+Datos!AN17))/(Datos!V17+Datos!AN17))," - ")</f>
        <v>0.20521739130434782</v>
      </c>
      <c r="F17" s="515">
        <f>IF(ISNUMBER((Datos!M17-Datos!W17)/Datos!W17),(Datos!M17-Datos!W17)/Datos!W17," - ")</f>
        <v>0</v>
      </c>
      <c r="G17" s="516">
        <f>IF(ISNUMBER((Datos!N17-Datos!X17)/Datos!X17),(Datos!N17-Datos!X17)/Datos!X17," - ")</f>
        <v>0.18285714285714286</v>
      </c>
      <c r="H17" s="514">
        <f>IF(ISNUMBER(((NºAsuntos!G17/NºAsuntos!E17)-Datos!BD17)/Datos!BD17),((NºAsuntos!G17/NºAsuntos!E17)-Datos!BD17)/Datos!BD17," - ")</f>
        <v>-0.35831363583523845</v>
      </c>
      <c r="I17" s="515">
        <f>IF(ISNUMBER(((NºAsuntos!I17/NºAsuntos!G17)-Datos!BE17)/Datos!BE17),((NºAsuntos!I17/NºAsuntos!G17)-Datos!BE17)/Datos!BE17," - ")</f>
        <v>0.29036862003780706</v>
      </c>
      <c r="J17" s="521">
        <f>IF(ISNUMBER((('Resol  Asuntos'!D17/NºAsuntos!G17)-Datos!BF17)/Datos!BF17),(('Resol  Asuntos'!D17/NºAsuntos!G17)-Datos!BF17)/Datos!BF17," - ")</f>
        <v>7.065217391304339E-2</v>
      </c>
      <c r="K17" s="522">
        <f>IF(ISNUMBER((((NºAsuntos!C17+NºAsuntos!E17)/NºAsuntos!G17)-Datos!BG17)/Datos!BG17),(((NºAsuntos!C17+NºAsuntos!E17)/NºAsuntos!G17)-Datos!BG17)/Datos!BG17," - ")</f>
        <v>0.15652173913043477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0.46875</v>
      </c>
      <c r="C18" s="515">
        <f>IF(ISNUMBER(
   IF(D_I="SI",(Datos!J18-Datos!T18)/Datos!T18,(Datos!J18+Datos!AD18-(Datos!T18+Datos!AL18))/(Datos!T18+Datos!AL18))
     ),IF(D_I="SI",(Datos!J18-Datos!T18)/Datos!T18,(Datos!J18+Datos!AD18-(Datos!T18+Datos!AL18))/(Datos!T18+Datos!AL18))," - ")</f>
        <v>-3.8461538461538464E-2</v>
      </c>
      <c r="D18" s="515">
        <f>IF(ISNUMBER(
   IF(D_I="SI",(Datos!K18-Datos!U18)/Datos!U18,(Datos!K18+Datos!AE18-(Datos!U18+Datos!AM18))/(Datos!U18+Datos!AM18))
     ),IF(D_I="SI",(Datos!K18-Datos!U18)/Datos!U18,(Datos!K18+Datos!AE18-(Datos!U18+Datos!AM18))/(Datos!U18+Datos!AM18))," - ")</f>
        <v>-0.19672131147540983</v>
      </c>
      <c r="E18" s="515">
        <f>IF(ISNUMBER(
   IF(D_I="SI",(Datos!L18-Datos!V18)/Datos!V18,(Datos!L18+Datos!AF18-(Datos!V18+Datos!AN18))/(Datos!V18+Datos!AN18))
     ),IF(D_I="SI",(Datos!L18-Datos!V18)/Datos!V18,(Datos!L18+Datos!AF18-(Datos!V18+Datos!AN18))/(Datos!V18+Datos!AN18))," - ")</f>
        <v>0.5636363636363636</v>
      </c>
      <c r="F18" s="515">
        <f>IF(ISNUMBER((Datos!M18-Datos!W18)/Datos!W18),(Datos!M18-Datos!W18)/Datos!W18," - ")</f>
        <v>0.66666666666666663</v>
      </c>
      <c r="G18" s="516">
        <f>IF(ISNUMBER((Datos!N18-Datos!X18)/Datos!X18),(Datos!N18-Datos!X18)/Datos!X18," - ")</f>
        <v>0.95</v>
      </c>
      <c r="H18" s="514">
        <f>IF(ISNUMBER(((NºAsuntos!G18/NºAsuntos!E18)-Datos!BD18)/Datos!BD18),((NºAsuntos!G18/NºAsuntos!E18)-Datos!BD18)/Datos!BD18," - ")</f>
        <v>-0.16459016393442627</v>
      </c>
      <c r="I18" s="515">
        <f>IF(ISNUMBER(((NºAsuntos!I18/NºAsuntos!G18)-Datos!BE18)/Datos!BE18),((NºAsuntos!I18/NºAsuntos!G18)-Datos!BE18)/Datos!BE18," - ")</f>
        <v>0.94656771799628936</v>
      </c>
      <c r="J18" s="521">
        <f>IF(ISNUMBER((('Resol  Asuntos'!D18/NºAsuntos!G18)-Datos!BF18)/Datos!BF18),(('Resol  Asuntos'!D18/NºAsuntos!G18)-Datos!BF18)/Datos!BF18," - ")</f>
        <v>1.0748299319727892</v>
      </c>
      <c r="K18" s="522">
        <f>IF(ISNUMBER((((NºAsuntos!C18+NºAsuntos!E18)/NºAsuntos!G18)-Datos!BG18)/Datos!BG18),(((NºAsuntos!C18+NºAsuntos!E18)/NºAsuntos!G18)-Datos!BG18)/Datos!BG18," - ")</f>
        <v>0.54539057002111202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-1.7971758664955071E-2</v>
      </c>
      <c r="C23" s="1152">
        <f>IF(ISNUMBER(
   IF(Criterios!B14="SI",(Datos!J23-Datos!T23)/Datos!T23,(Datos!J23+Datos!AD23-(Datos!T23+Datos!AL23))/(Datos!T23+Datos!AL23))
     ),IF(Criterios!B14="SI",(Datos!J23-Datos!T23)/Datos!T23,(Datos!J23+Datos!AD23-(Datos!T23+Datos!AL23))/(Datos!T23+Datos!AL23))," - ")</f>
        <v>0.37577639751552794</v>
      </c>
      <c r="D23" s="1152">
        <f>IF(ISNUMBER(
   IF(Criterios!B14="SI",(Datos!K23-Datos!U23)/Datos!U23,(Datos!K23+Datos!AE23-(Datos!U23+Datos!AM23))/(Datos!U23+Datos!AM23))
     ),IF(Criterios!B14="SI",(Datos!K23-Datos!U23)/Datos!U23,(Datos!K23+Datos!AE23-(Datos!U23+Datos!AM23))/(Datos!U23+Datos!AM23))," - ")</f>
        <v>-8.3516483516483511E-2</v>
      </c>
      <c r="E23" s="1152">
        <f>IF(ISNUMBER(
   IF(Criterios!B14="SI",(Datos!L23-Datos!V23)/Datos!V23,(Datos!L23+Datos!AF23-(Datos!V23+Datos!AN23))/(Datos!V23+Datos!AN23))
     ),IF(Criterios!B14="SI",(Datos!L23-Datos!V23)/Datos!V23,(Datos!L23+Datos!AF23-(Datos!V23+Datos!AN23))/(Datos!V23+Datos!AN23))," - ")</f>
        <v>0.2365079365079365</v>
      </c>
      <c r="F23" s="1153">
        <f>IF(ISNUMBER((Datos!M23-Datos!W23)/Datos!W23),(Datos!M23-Datos!W23)/Datos!W23," - ")</f>
        <v>2.0408163265306121E-2</v>
      </c>
      <c r="G23" s="1154">
        <f>IF(ISNUMBER((Datos!N23-Datos!X23)/Datos!X23),(Datos!N23-Datos!X23)/Datos!X23," - ")</f>
        <v>0.26153846153846155</v>
      </c>
      <c r="H23" s="1154">
        <f>IF(ISNUMBER(((NºAsuntos!G23/NºAsuntos!E23)-Datos!BD23)/Datos!BD23),((NºAsuntos!G23/NºAsuntos!E23)-Datos!BD23)/Datos!BD23," - ")</f>
        <v>-0.33384268102101061</v>
      </c>
      <c r="I23" s="1154">
        <f>IF(ISNUMBER(((NºAsuntos!I23/NºAsuntos!G23)-Datos!BE23)/Datos!BE23),((NºAsuntos!I23/NºAsuntos!G23)-Datos!BE23)/Datos!BE23," - ")</f>
        <v>0.34918731681321608</v>
      </c>
      <c r="J23" s="1154">
        <f>IF(ISNUMBER((('Resol  Asuntos'!D23/NºAsuntos!G23)-Datos!BF23)/Datos!BF23),(('Resol  Asuntos'!D23/NºAsuntos!G23)-Datos!BF23)/Datos!BF23," - ")</f>
        <v>0.11339499828708459</v>
      </c>
      <c r="K23" s="1154">
        <f>IF(ISNUMBER((((NºAsuntos!C23+NºAsuntos!E23)/NºAsuntos!G23)-Datos!BG23)/Datos!BG23),(((NºAsuntos!C23+NºAsuntos!E23)/NºAsuntos!G23)-Datos!BG23)/Datos!BG23," - ")</f>
        <v>0.19716760651424381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-4.1992882562277581E-2</v>
      </c>
      <c r="C31" s="1092">
        <f>IF(ISNUMBER(
   IF(J_V="SI",(Datos!J31-Datos!T31)/Datos!T31,(Datos!J31+Datos!Z31-(Datos!T31+Datos!AH31))/(Datos!T31+Datos!AH31))
     ),IF(J_V="SI",(Datos!J31-Datos!T31)/Datos!T31,(Datos!J31+Datos!Z31-(Datos!T31+Datos!AH31))/(Datos!T31+Datos!AH31))," - ")</f>
        <v>0.16971279373368145</v>
      </c>
      <c r="D31" s="1092">
        <f>IF(ISNUMBER(
   IF(J_V="SI",(Datos!K31-Datos!U31)/Datos!U31,(Datos!K31+Datos!AA31-(Datos!U31+Datos!AI31))/(Datos!U31+Datos!AI31))
     ),IF(J_V="SI",(Datos!K31-Datos!U31)/Datos!U31,(Datos!K31+Datos!AA31-(Datos!U31+Datos!AI31))/(Datos!U31+Datos!AI31))," - ")</f>
        <v>-0.18063872255489022</v>
      </c>
      <c r="E31" s="1092">
        <f>IF(ISNUMBER(
   IF(J_V="SI",(Datos!L31-Datos!V31)/Datos!V31,(Datos!L31+Datos!AB31-(Datos!V31+Datos!AJ31))/(Datos!V31+Datos!AJ31))
     ),IF(J_V="SI",(Datos!L31-Datos!V31)/Datos!V31,(Datos!L31+Datos!AB31-(Datos!V31+Datos!AJ31))/(Datos!V31+Datos!AJ31))," - ")</f>
        <v>0.21689895470383275</v>
      </c>
      <c r="F31" s="1093">
        <f>IF(ISNUMBER((Datos!M31-Datos!W31)/Datos!W31),(Datos!M31-Datos!W31)/Datos!W31," - ")</f>
        <v>-0.18410041841004185</v>
      </c>
      <c r="G31" s="1094">
        <f>IF(ISNUMBER((Datos!N31-Datos!X31)/Datos!X31),(Datos!N31-Datos!X31)/Datos!X31," - ")</f>
        <v>0</v>
      </c>
      <c r="H31" s="1095">
        <f>IF(ISNUMBER((Tasas!B31-Datos!BD31)/Datos!BD31),(Tasas!B31-Datos!BD31)/Datos!BD31," - ")</f>
        <v>-0.29951926504134585</v>
      </c>
      <c r="I31" s="1096">
        <f>IF(ISNUMBER((Tasas!C31-Datos!BE31)/Datos!BE31),(Tasas!C31-Datos!BE31)/Datos!BE31," - ")</f>
        <v>0.48517996664219276</v>
      </c>
      <c r="J31" s="1097">
        <f>IF(ISNUMBER((Tasas!D31-Datos!BF31)/Datos!BF31),(Tasas!D31-Datos!BF31)/Datos!BF31," - ")</f>
        <v>-0.17934394556680244</v>
      </c>
      <c r="K31" s="1097">
        <f>IF(ISNUMBER((Tasas!E31-Datos!BG31)/Datos!BG31),(Tasas!E31-Datos!BG31)/Datos!BG31," - ")</f>
        <v>0.26037665136325316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PBqOWfEaXibMDvalE340zaqm6n8VI2p5H0PhfHtY5ckMfKKmm2t7q/3e38HaBB/paSN0i2+3SqOOPOJs1cyig==" saltValue="hSt+34B3zG40s873d9Qq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BERGARA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1.0769230769230769</v>
      </c>
      <c r="C10" s="498">
        <f>IF(ISNUMBER(NºAsuntos!I10/NºAsuntos!G10),NºAsuntos!I10/NºAsuntos!G10," - ")</f>
        <v>1.7142857142857142</v>
      </c>
      <c r="D10" s="499">
        <f>IF(ISNUMBER('Resol  Asuntos'!D10/NºAsuntos!G10),'Resol  Asuntos'!D10/NºAsuntos!G10," - ")</f>
        <v>0.14285714285714285</v>
      </c>
      <c r="E10" s="500">
        <f>IF(ISNUMBER((NºAsuntos!C10+NºAsuntos!E10)/NºAsuntos!G10),(NºAsuntos!C10+NºAsuntos!E10)/NºAsuntos!G10," - ")</f>
        <v>2.7142857142857144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0.88636363636363635</v>
      </c>
      <c r="C12" s="498">
        <f>IF(ISNUMBER(NºAsuntos!I12/NºAsuntos!G12),NºAsuntos!I12/NºAsuntos!G12," - ")</f>
        <v>1.523076923076923</v>
      </c>
      <c r="D12" s="499">
        <f>IF(ISNUMBER('Resol  Asuntos'!D12/NºAsuntos!G12),'Resol  Asuntos'!D12/NºAsuntos!G12," - ")</f>
        <v>0.23846153846153847</v>
      </c>
      <c r="E12" s="500">
        <f>IF(ISNUMBER((NºAsuntos!C12+NºAsuntos!E12)/NºAsuntos!G12),(NºAsuntos!C12+NºAsuntos!E12)/NºAsuntos!G12," - ")</f>
        <v>2.5538461538461537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0.89183222958057395</v>
      </c>
      <c r="C14" s="1156">
        <f>IF(ISNUMBER(NºAsuntos!I14/NºAsuntos!G14),NºAsuntos!I14/NºAsuntos!G14," - ")</f>
        <v>1.5297029702970297</v>
      </c>
      <c r="D14" s="1157">
        <f>IF(ISNUMBER('Resol  Asuntos'!D14/NºAsuntos!G14),'Resol  Asuntos'!D14/NºAsuntos!G14," - ")</f>
        <v>0.23514851485148514</v>
      </c>
      <c r="E14" s="1158">
        <f>IF(ISNUMBER((NºAsuntos!C14+NºAsuntos!E14)/NºAsuntos!G14),(NºAsuntos!C14+NºAsuntos!E14)/NºAsuntos!G14," - ")</f>
        <v>2.5594059405940595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0.93638676844783719</v>
      </c>
      <c r="C17" s="498">
        <f>IF(ISNUMBER(NºAsuntos!I17/NºAsuntos!G17),NºAsuntos!I17/NºAsuntos!G17," - ")</f>
        <v>1.8831521739130435</v>
      </c>
      <c r="D17" s="499">
        <f>IF(ISNUMBER('Resol  Asuntos'!D17/NºAsuntos!G17),'Resol  Asuntos'!D17/NºAsuntos!G17," - ")</f>
        <v>0.25815217391304346</v>
      </c>
      <c r="E17" s="500">
        <f>IF(ISNUMBER((NºAsuntos!C17+NºAsuntos!E17)/NºAsuntos!G17),(NºAsuntos!C17+NºAsuntos!E17)/NºAsuntos!G17," - ")</f>
        <v>2.8913043478260869</v>
      </c>
      <c r="G17" s="523"/>
    </row>
    <row r="18" spans="1:7">
      <c r="A18" s="450" t="str">
        <f>Datos!A18</f>
        <v>Jdos. Violencia contra la mujer</v>
      </c>
      <c r="B18" s="497">
        <f>IF(ISNUMBER(NºAsuntos!G18/NºAsuntos!E18),NºAsuntos!G18/NºAsuntos!E18," - ")</f>
        <v>0.98</v>
      </c>
      <c r="C18" s="498">
        <f>IF(ISNUMBER(NºAsuntos!I18/NºAsuntos!G18),NºAsuntos!I18/NºAsuntos!G18," - ")</f>
        <v>1.7551020408163265</v>
      </c>
      <c r="D18" s="499">
        <f>IF(ISNUMBER('Resol  Asuntos'!D18/NºAsuntos!G18),'Resol  Asuntos'!D18/NºAsuntos!G18," - ")</f>
        <v>0.10204081632653061</v>
      </c>
      <c r="E18" s="500">
        <f>IF(ISNUMBER((NºAsuntos!C18+NºAsuntos!E18)/NºAsuntos!G18),(NºAsuntos!C18+NºAsuntos!E18)/NºAsuntos!G18," - ")</f>
        <v>2.9387755102040818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0.94130925507900676</v>
      </c>
      <c r="C23" s="1156">
        <f>IF(ISNUMBER(NºAsuntos!I23/NºAsuntos!G23),NºAsuntos!I23/NºAsuntos!G23," - ")</f>
        <v>1.8681055155875299</v>
      </c>
      <c r="D23" s="1159">
        <f>IF(ISNUMBER('Resol  Asuntos'!D23/NºAsuntos!G23),'Resol  Asuntos'!D23/NºAsuntos!G23," - ")</f>
        <v>0.23980815347721823</v>
      </c>
      <c r="E23" s="1158">
        <f>IF(ISNUMBER((NºAsuntos!C23+NºAsuntos!E23)/NºAsuntos!G23),(NºAsuntos!C23+NºAsuntos!E23)/NºAsuntos!G23," - ")</f>
        <v>2.8968824940047964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0.9162946428571429</v>
      </c>
      <c r="C31" s="1099">
        <f>IF(ISNUMBER(NºAsuntos!I31/NºAsuntos!G31),NºAsuntos!I31/NºAsuntos!G31," - ")</f>
        <v>1.7015834348355663</v>
      </c>
      <c r="D31" s="1100">
        <f>IF(ISNUMBER('Resol  Asuntos'!D31/NºAsuntos!G31),'Resol  Asuntos'!D31/NºAsuntos!G31," - ")</f>
        <v>0.23751522533495736</v>
      </c>
      <c r="E31" s="1101">
        <f>IF(ISNUMBER((NºAsuntos!C31+NºAsuntos!E31)/NºAsuntos!G31),(NºAsuntos!C31+NºAsuntos!E31)/NºAsuntos!G31," - ")</f>
        <v>2.7308160779537149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i3h1ecyu4/wndruCvu4n5xKBqcW4MUNRFDlfZUt3zwKlRU242rptpEc8g2dmqc6TWIXnSMbzFrp5tZ834H1w==" saltValue="R0sTClPETShTPcVz/Yep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BERGARA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24</v>
      </c>
      <c r="AB10" s="374">
        <f>IF(ISNUMBER(Datos!R10),Datos!R10," - ")</f>
        <v>17</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1.0769230769230769</v>
      </c>
      <c r="AM10" s="284">
        <f>IF(ISNUMBER(((NºAsuntos!I10/NºAsuntos!G10)*11)/factor_trimestre),((NºAsuntos!I10/NºAsuntos!G10)*11)/factor_trimestre," - ")</f>
        <v>5.1428571428571432</v>
      </c>
      <c r="AN10" s="267">
        <f>IF(ISNUMBER('Resol  Asuntos'!D10/NºAsuntos!G10),'Resol  Asuntos'!D10/NºAsuntos!G10," - ")</f>
        <v>0.14285714285714285</v>
      </c>
      <c r="AO10" s="268">
        <f>IF(ISNUMBER((NºAsuntos!C10+NºAsuntos!E10)/NºAsuntos!G10),(NºAsuntos!C10+NºAsuntos!E10)/NºAsuntos!G10," - ")</f>
        <v>2.7142857142857144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0.88636363636363635</v>
      </c>
      <c r="AM12" s="284">
        <f>IF(ISNUMBER(((NºAsuntos!I12/NºAsuntos!G12)*11)/factor_trimestre),((NºAsuntos!I12/NºAsuntos!G12)*11)/factor_trimestre," - ")</f>
        <v>4.5692307692307699</v>
      </c>
      <c r="AN12" s="267">
        <f>IF(ISNUMBER('Resol  Asuntos'!D12/NºAsuntos!G12),'Resol  Asuntos'!D12/NºAsuntos!G12," - ")</f>
        <v>0.23846153846153847</v>
      </c>
      <c r="AO12" s="268">
        <f>IF(ISNUMBER((NºAsuntos!C12+NºAsuntos!E12)/NºAsuntos!G12),(NºAsuntos!C12+NºAsuntos!E12)/NºAsuntos!G12," - ")</f>
        <v>2.5538461538461537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25</v>
      </c>
      <c r="G14" s="1163">
        <f t="shared" si="5"/>
        <v>25</v>
      </c>
      <c r="H14" s="1162">
        <f t="shared" si="5"/>
        <v>0</v>
      </c>
      <c r="I14" s="1164">
        <f t="shared" si="5"/>
        <v>0</v>
      </c>
      <c r="J14" s="1164">
        <f t="shared" si="5"/>
        <v>0</v>
      </c>
      <c r="K14" s="1164">
        <f t="shared" si="5"/>
        <v>0</v>
      </c>
      <c r="L14" s="1164">
        <f t="shared" si="5"/>
        <v>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85</v>
      </c>
      <c r="Y14" s="1165">
        <f t="shared" si="6"/>
        <v>99</v>
      </c>
      <c r="Z14" s="1165">
        <f t="shared" si="6"/>
        <v>0</v>
      </c>
      <c r="AA14" s="1165">
        <f t="shared" si="6"/>
        <v>24</v>
      </c>
      <c r="AB14" s="1165">
        <f t="shared" si="6"/>
        <v>997</v>
      </c>
      <c r="AC14" s="1165">
        <f t="shared" si="6"/>
        <v>41</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0.89183222958057395</v>
      </c>
      <c r="AM14" s="1171">
        <f>IF(ISNUMBER(((NºAsuntos!I14/NºAsuntos!G14)*11)/factor_trimestre),((NºAsuntos!I14/NºAsuntos!G14)*11)/factor_trimestre," - ")</f>
        <v>4.5891089108910892</v>
      </c>
      <c r="AN14" s="1172">
        <f>IF(ISNUMBER('Resol  Asuntos'!D14/NºAsuntos!G14),'Resol  Asuntos'!D14/NºAsuntos!G14," - ")</f>
        <v>0.23514851485148514</v>
      </c>
      <c r="AO14" s="1173">
        <f>IF(ISNUMBER((NºAsuntos!C14+NºAsuntos!E14)/NºAsuntos!G14),(NºAsuntos!C14+NºAsuntos!E14)/NºAsuntos!G14," - ")</f>
        <v>2.5594059405940595</v>
      </c>
      <c r="AP14" s="1174" t="str">
        <f t="shared" si="2"/>
        <v xml:space="preserve"> - </v>
      </c>
      <c r="AQ14" s="1174">
        <f>IF(ISNUMBER((H14-W14+K14)/(F14)),(H14-W14+K14)/(F14)," - ")</f>
        <v>-0.56000000000000005</v>
      </c>
      <c r="AR14" s="1175">
        <f>IF(ISNUMBER((Datos!P14-Datos!Q14)/(Datos!R14-Datos!P14+Datos!Q14)),(Datos!P14-Datos!Q14)/(Datos!R14-Datos!P14+Datos!Q14)," - ")</f>
        <v>1.004016064257028E-3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668</v>
      </c>
      <c r="G17" s="373">
        <f>IF(ISNUMBER(IF(D_I="SI",Datos!I17,Datos!I17+Datos!AC17)),IF(D_I="SI",Datos!I17,Datos!I17+Datos!AC17)," - ")</f>
        <v>671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368</v>
      </c>
      <c r="X17" s="240">
        <f>IF(ISNUMBER(Datos!Q17),Datos!Q17," - ")</f>
        <v>36</v>
      </c>
      <c r="Y17" s="374">
        <f t="shared" ref="Y17:Y22" si="9">SUM(W17:X17)</f>
        <v>404</v>
      </c>
      <c r="Z17" s="375" t="str">
        <f>IF(ISNUMBER(Datos!CC17),Datos!CC17," - ")</f>
        <v xml:space="preserve"> - </v>
      </c>
      <c r="AA17" s="372">
        <f>IF(ISNUMBER(IF(D_I="SI",Datos!L17,Datos!L17+Datos!AF17)),IF(D_I="SI",Datos!L17,Datos!L17+Datos!AF17)," - ")</f>
        <v>693</v>
      </c>
      <c r="AB17" s="374">
        <f>IF(ISNUMBER(Datos!R17),Datos!R17," - ")</f>
        <v>126</v>
      </c>
      <c r="AC17" s="374">
        <f t="shared" si="8"/>
        <v>819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0.93638676844783719</v>
      </c>
      <c r="AM17" s="284">
        <f>IF(ISNUMBER(((NºAsuntos!I17/NºAsuntos!G17)*11)/factor_trimestre),((NºAsuntos!I17/NºAsuntos!G17)*11)/factor_trimestre," - ")</f>
        <v>5.6494565217391299</v>
      </c>
      <c r="AN17" s="267">
        <f>IF(ISNUMBER('Resol  Asuntos'!D17/NºAsuntos!G17),'Resol  Asuntos'!D17/NºAsuntos!G17," - ")</f>
        <v>0.25815217391304346</v>
      </c>
      <c r="AO17" s="268">
        <f>IF(ISNUMBER((NºAsuntos!C17+NºAsuntos!E17)/NºAsuntos!G17),(NºAsuntos!C17+NºAsuntos!E17)/NºAsuntos!G17," - ")</f>
        <v>2.8913043478260869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86</v>
      </c>
      <c r="AB18" s="374">
        <f>IF(ISNUMBER(Datos!R18),Datos!R18," - ")</f>
        <v>2</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0.98</v>
      </c>
      <c r="AM18" s="284">
        <f>IF(ISNUMBER(((NºAsuntos!I18/NºAsuntos!G18)*11)/factor_trimestre),((NºAsuntos!I18/NºAsuntos!G18)*11)/factor_trimestre," - ")</f>
        <v>5.2653061224489797</v>
      </c>
      <c r="AN18" s="267">
        <f>IF(ISNUMBER('Resol  Asuntos'!D18/NºAsuntos!G18),'Resol  Asuntos'!D18/NºAsuntos!G18," - ")</f>
        <v>0.10204081632653061</v>
      </c>
      <c r="AO18" s="268">
        <f>IF(ISNUMBER((NºAsuntos!C18+NºAsuntos!E18)/NºAsuntos!G18),(NºAsuntos!C18+NºAsuntos!E18)/NºAsuntos!G18," - ")</f>
        <v>2.9387755102040818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668</v>
      </c>
      <c r="G23" s="1163">
        <f>SUBTOTAL(9,G16:G22)</f>
        <v>765</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417</v>
      </c>
      <c r="X23" s="1164">
        <f t="shared" si="14"/>
        <v>36</v>
      </c>
      <c r="Y23" s="1165">
        <f t="shared" si="14"/>
        <v>453</v>
      </c>
      <c r="Z23" s="1165">
        <f t="shared" si="14"/>
        <v>0</v>
      </c>
      <c r="AA23" s="1165">
        <f t="shared" si="14"/>
        <v>779</v>
      </c>
      <c r="AB23" s="1165">
        <f t="shared" si="14"/>
        <v>128</v>
      </c>
      <c r="AC23" s="1165">
        <f t="shared" si="14"/>
        <v>907</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0.94130925507900676</v>
      </c>
      <c r="AM23" s="1171">
        <f>IF(ISNUMBER(((NºAsuntos!I23/NºAsuntos!G23)*11)/factor_trimestre),((NºAsuntos!I23/NºAsuntos!G23)*11)/factor_trimestre," - ")</f>
        <v>5.6043165467625897</v>
      </c>
      <c r="AN23" s="1172">
        <f>IF(ISNUMBER('Resol  Asuntos'!D23/NºAsuntos!G23),'Resol  Asuntos'!D23/NºAsuntos!G23," - ")</f>
        <v>0.23980815347721823</v>
      </c>
      <c r="AO23" s="1173">
        <f>IF(ISNUMBER((NºAsuntos!C23+NºAsuntos!E23)/NºAsuntos!G23),(NºAsuntos!C23+NºAsuntos!E23)/NºAsuntos!G23," - ")</f>
        <v>2.8968824940047964</v>
      </c>
      <c r="AP23" s="1174" t="str">
        <f t="shared" si="2"/>
        <v xml:space="preserve"> - </v>
      </c>
      <c r="AQ23" s="1174">
        <f>IF(ISNUMBER((H23-W23+K23)/(F23)),(H23-W23+K23)/(F23)," - ")</f>
        <v>-0.62425149700598803</v>
      </c>
      <c r="AR23" s="1175">
        <f>IF(ISNUMBER((Datos!P23-Datos!Q23)/(Datos!R23-Datos!P23+Datos!Q23)),(Datos!P23-Datos!Q23)/(Datos!R23-Datos!P23+Datos!Q23)," - ")</f>
        <v>7.5630252100840331E-2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693</v>
      </c>
      <c r="G31" s="1118">
        <f t="shared" si="20"/>
        <v>790</v>
      </c>
      <c r="H31" s="1117">
        <f t="shared" si="20"/>
        <v>0</v>
      </c>
      <c r="I31" s="1119">
        <f t="shared" si="20"/>
        <v>0</v>
      </c>
      <c r="J31" s="1119">
        <f t="shared" si="20"/>
        <v>0</v>
      </c>
      <c r="K31" s="1180">
        <f t="shared" si="20"/>
        <v>0</v>
      </c>
      <c r="L31" s="1119">
        <f t="shared" si="20"/>
        <v>131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431</v>
      </c>
      <c r="X31" s="1118">
        <f t="shared" si="21"/>
        <v>121</v>
      </c>
      <c r="Y31" s="1125">
        <f t="shared" si="21"/>
        <v>552</v>
      </c>
      <c r="Z31" s="1125">
        <f t="shared" si="21"/>
        <v>0</v>
      </c>
      <c r="AA31" s="1125">
        <f t="shared" si="21"/>
        <v>803</v>
      </c>
      <c r="AB31" s="1125">
        <f t="shared" si="21"/>
        <v>1125</v>
      </c>
      <c r="AC31" s="1125">
        <f t="shared" si="21"/>
        <v>948</v>
      </c>
      <c r="AD31" s="1125">
        <f t="shared" si="21"/>
        <v>0</v>
      </c>
      <c r="AE31" s="1127">
        <f t="shared" si="21"/>
        <v>0</v>
      </c>
      <c r="AF31" s="1128">
        <f t="shared" si="21"/>
        <v>0</v>
      </c>
      <c r="AG31" s="1129">
        <f t="shared" si="21"/>
        <v>0</v>
      </c>
      <c r="AH31" s="1127">
        <f t="shared" si="21"/>
        <v>0</v>
      </c>
      <c r="AI31" s="1117">
        <f t="shared" si="21"/>
        <v>195</v>
      </c>
      <c r="AJ31" s="1117">
        <f t="shared" si="21"/>
        <v>0</v>
      </c>
      <c r="AK31" s="1127">
        <f t="shared" si="21"/>
        <v>0</v>
      </c>
      <c r="AL31" s="1183">
        <f>IF(ISNUMBER(NºAsuntos!G31/NºAsuntos!E31),NºAsuntos!G31/NºAsuntos!E31," - ")</f>
        <v>0.9162946428571429</v>
      </c>
      <c r="AM31" s="1184">
        <f>IF(ISNUMBER(((NºAsuntos!I31/NºAsuntos!G31)*11)/factor_trimestre),((NºAsuntos!I31/NºAsuntos!G31)*11)/factor_trimestre," - ")</f>
        <v>5.1047503045066991</v>
      </c>
      <c r="AN31" s="1184">
        <f>IF(ISNUMBER('Resol  Asuntos'!D31/NºAsuntos!G31),'Resol  Asuntos'!D31/NºAsuntos!G31," - ")</f>
        <v>0.23751522533495736</v>
      </c>
      <c r="AO31" s="1185">
        <f>IF(ISNUMBER((NºAsuntos!C31+NºAsuntos!E31)/NºAsuntos!G31),(NºAsuntos!C31+NºAsuntos!E31)/NºAsuntos!G31," - ")</f>
        <v>2.7308160779537149</v>
      </c>
      <c r="AP31" s="1186" t="str">
        <f t="shared" si="2"/>
        <v xml:space="preserve"> - </v>
      </c>
      <c r="AQ31" s="1187">
        <f>IF(OR(ISNUMBER(FIND("01",Criterios!A8,1)),ISNUMBER(FIND("02",Criterios!A8,1)),ISNUMBER(FIND("03",Criterios!A8,1)),ISNUMBER(FIND("04",Criterios!A8,1))),(I31-W31+K31)/(F31-K31),(H31-W31+K31)/(F31-K31))</f>
        <v>-0.62193362193362189</v>
      </c>
      <c r="AR31" s="1188">
        <f>IF(ISNUMBER((Datos!P31-Datos!Q31)/(Datos!R31-Datos!P31+Datos!Q31)),(Datos!P31-Datos!Q31)/(Datos!R31-Datos!P31+Datos!Q31)," - ")</f>
        <v>8.9686098654708519E-3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338.68333292324854</v>
      </c>
      <c r="G33" s="277">
        <f>IF(ISNUMBER(STDEV(G8:G30)),STDEV(G8:G30),"-")</f>
        <v>338.85184288796694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185.27315741127441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50.306915173619167</v>
      </c>
      <c r="AJ33" s="276">
        <f t="shared" si="25"/>
        <v>0</v>
      </c>
      <c r="AK33" s="278">
        <f t="shared" si="25"/>
        <v>0</v>
      </c>
      <c r="AL33" s="273">
        <f t="shared" si="25"/>
        <v>7.0251010395593075E-2</v>
      </c>
      <c r="AM33" s="274">
        <f t="shared" si="25"/>
        <v>0.47329467740721332</v>
      </c>
      <c r="AN33" s="274">
        <f t="shared" si="25"/>
        <v>6.4026836878226134E-2</v>
      </c>
      <c r="AO33" s="275">
        <f t="shared" si="25"/>
        <v>0.17479157386506897</v>
      </c>
      <c r="AP33" s="317" t="str">
        <f t="shared" si="25"/>
        <v>-</v>
      </c>
      <c r="AQ33" s="318">
        <f t="shared" si="25"/>
        <v>4.5432669234321259E-2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QlN8h8IzE0bjkYsSgo630YQCXDVhVuiTLvU9nJUXX4iymHv3D3au8DGG8F877qMEsvBiYZD/4WabA9ySowV/g==" saltValue="FPInEHbela/7COhYQvgq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BERGARA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2.5714285714285716</v>
      </c>
      <c r="E10" s="393">
        <f>IF(ISNUMBER((Datos!J10-Datos!T10)/Datos!T10),(Datos!J10-Datos!T10)/Datos!T10," - ")</f>
        <v>0.625</v>
      </c>
      <c r="F10" s="393">
        <f>IF(ISNUMBER((Datos!K10-Datos!U10)/Datos!U10),(Datos!K10-Datos!U10)/Datos!U10," - ")</f>
        <v>1.3333333333333333</v>
      </c>
      <c r="G10" s="394">
        <f>IF(ISNUMBER((Datos!L10-Datos!V10)/Datos!V10),(Datos!L10-Datos!V10)/Datos!V10," - ")</f>
        <v>1.6666666666666667</v>
      </c>
      <c r="H10" s="244">
        <f>IF(ISNUMBER((Datos!M10-Datos!W10)/Datos!W10),(Datos!M10-Datos!W10)/Datos!W10," - ")</f>
        <v>1</v>
      </c>
      <c r="I10" s="395">
        <f>IF(ISNUMBER((Tasas!C10-Datos!BE10)/Datos!BE10),(Tasas!C10-Datos!BE10)/Datos!BE10," - ")</f>
        <v>0.14285714285714279</v>
      </c>
      <c r="J10" s="394">
        <f>IF(ISNUMBER((Tasas!D10-Datos!BF10)/Datos!BF10),(Tasas!D10-Datos!BF10)/Datos!BF10," - ")</f>
        <v>-0.14285714285714285</v>
      </c>
      <c r="K10" s="396">
        <f>IF(ISNUMBER((Tasas!E10-Datos!BG10)/Datos!BG10),(Tasas!E10-Datos!BG10)/Datos!BG10," - ")</f>
        <v>8.5714285714285771E-2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-0.33571428571428569</v>
      </c>
      <c r="I12" s="395">
        <f>IF(ISNUMBER((Tasas!C12-Datos!BE12)/Datos!BE12),(Tasas!C12-Datos!BE12)/Datos!BE12," - ")</f>
        <v>0.61883028562792797</v>
      </c>
      <c r="J12" s="394">
        <f>IF(ISNUMBER((Tasas!D12-Datos!BF12)/Datos!BF12),(Tasas!D12-Datos!BF12)/Datos!BF12," - ")</f>
        <v>-0.32456705598066854</v>
      </c>
      <c r="K12" s="396">
        <f>IF(ISNUMBER((Tasas!E12-Datos!BG12)/Datos!BG12),(Tasas!E12-Datos!BG12)/Datos!BG12," - ")</f>
        <v>0.30960262486328827</v>
      </c>
      <c r="M12" t="e">
        <f>IF(Monitorios="SI",Datos!CE12,0)</f>
        <v>#REF!</v>
      </c>
      <c r="N12" t="e">
        <f>IF(Monitorios="SI",Datos!CF12,0)</f>
        <v>#REF!</v>
      </c>
      <c r="O12" t="e">
        <f>IF(Monitorios="SI",Datos!CG12,0)</f>
        <v>#REF!</v>
      </c>
      <c r="P12" t="e">
        <f>IF(Monitorios="SI",Datos!CH12,0)</f>
        <v>#REF!</v>
      </c>
      <c r="Q12">
        <f>IF(J_V="SI",0,Datos!AG12)</f>
        <v>46</v>
      </c>
      <c r="R12">
        <f>IF(J_V="SI",0,Datos!AH12)</f>
        <v>86</v>
      </c>
      <c r="S12">
        <f>IF(J_V="SI",0,Datos!AI12)</f>
        <v>98</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-0.32624113475177308</v>
      </c>
      <c r="I14" s="402">
        <f>IF(ISNUMBER((Tasas!C14-Datos!BE14)/Datos!BE14),(Tasas!C14-Datos!BE14)/Datos!BE14," - ")</f>
        <v>0.61534271187736533</v>
      </c>
      <c r="J14" s="400">
        <f>IF(ISNUMBER((Tasas!D14-Datos!BF14)/Datos!BF14),(Tasas!D14-Datos!BF14)/Datos!BF14," - ")</f>
        <v>-0.3300716790429043</v>
      </c>
      <c r="K14" s="403">
        <f>IF(ISNUMBER((Tasas!E14-Datos!BG14)/Datos!BG14),(Tasas!E14-Datos!BG14)/Datos!BG14," - ")</f>
        <v>0.30840658832238366</v>
      </c>
      <c r="M14" t="e">
        <f>IF(Monitorios="SI",Datos!CE14,0)</f>
        <v>#REF!</v>
      </c>
      <c r="N14" t="e">
        <f>IF(Monitorios="SI",Datos!CF14,0)</f>
        <v>#REF!</v>
      </c>
      <c r="O14" t="e">
        <f>IF(Monitorios="SI",Datos!CG14,0)</f>
        <v>#REF!</v>
      </c>
      <c r="P14" t="e">
        <f>IF(Monitorios="SI",Datos!CH14,0)</f>
        <v>#REF!</v>
      </c>
      <c r="Q14">
        <f>IF(J_V="SI",0,Datos!AG14)</f>
        <v>46</v>
      </c>
      <c r="R14">
        <f>IF(J_V="SI",0,Datos!AH14)</f>
        <v>86</v>
      </c>
      <c r="S14">
        <f>IF(J_V="SI",0,Datos!AI14)</f>
        <v>98</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-6.1538461538461542E-2</v>
      </c>
      <c r="E17" s="393">
        <f>IF(ISNUMBER(
   IF(D_I="SI",(Datos!J17-Datos!T17)/Datos!T17,(Datos!J17+Datos!AD17-(Datos!T17+Datos!AL17))/(Datos!T17+Datos!AL17))
     ),IF(D_I="SI",(Datos!J17-Datos!T17)/Datos!T17,(Datos!J17+Datos!AD17-(Datos!T17+Datos!AL17))/(Datos!T17+Datos!AL17))," - ")</f>
        <v>0.45555555555555555</v>
      </c>
      <c r="F17" s="393">
        <f>IF(ISNUMBER(
   IF(D_I="SI",(Datos!K17-Datos!U17)/Datos!U17,(Datos!K17+Datos!AE17-(Datos!U17+Datos!AM17))/(Datos!U17+Datos!AM17))
     ),IF(D_I="SI",(Datos!K17-Datos!U17)/Datos!U17,(Datos!K17+Datos!AE17-(Datos!U17+Datos!AM17))/(Datos!U17+Datos!AM17))," - ")</f>
        <v>-6.5989847715736044E-2</v>
      </c>
      <c r="G17" s="394">
        <f>IF(ISNUMBER(
   IF(D_I="SI",(Datos!L17-Datos!V17)/Datos!V17,(Datos!L17+Datos!AF17-(Datos!V17+Datos!AN17))/(Datos!V17+Datos!AN17))
     ),IF(D_I="SI",(Datos!L17-Datos!V17)/Datos!V17,(Datos!L17+Datos!AF17-(Datos!V17+Datos!AN17))/(Datos!V17+Datos!AN17))," - ")</f>
        <v>0.20521739130434782</v>
      </c>
      <c r="H17" s="244">
        <f>IF(ISNUMBER((Datos!M17-Datos!W17)/Datos!W17),(Datos!M17-Datos!W17)/Datos!W17," - ")</f>
        <v>0</v>
      </c>
      <c r="I17" s="395">
        <f>IF(ISNUMBER((Tasas!C17-Datos!BE17)/Datos!BE17),(Tasas!C17-Datos!BE17)/Datos!BE17," - ")</f>
        <v>0.29036862003780706</v>
      </c>
      <c r="J17" s="394">
        <f>IF(ISNUMBER((Tasas!D17-Datos!BF17)/Datos!BF17),(Tasas!D17-Datos!BF17)/Datos!BF17," - ")</f>
        <v>7.065217391304339E-2</v>
      </c>
      <c r="K17" s="396">
        <f>IF(ISNUMBER((Tasas!E17-Datos!BG17)/Datos!BG17),(Tasas!E17-Datos!BG17)/Datos!BG17," - ")</f>
        <v>0.15652173913043477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0.46875</v>
      </c>
      <c r="E18" s="393">
        <f>IF(ISNUMBER(
   IF(D_I="SI",(Datos!J18-Datos!T18)/Datos!T18,(Datos!J18+Datos!AD18-(Datos!T18+Datos!AL18))/(Datos!T18+Datos!AL18))
     ),IF(D_I="SI",(Datos!J18-Datos!T18)/Datos!T18,(Datos!J18+Datos!AD18-(Datos!T18+Datos!AL18))/(Datos!T18+Datos!AL18))," - ")</f>
        <v>-3.8461538461538464E-2</v>
      </c>
      <c r="F18" s="393">
        <f>IF(ISNUMBER(
   IF(D_I="SI",(Datos!K18-Datos!U18)/Datos!U18,(Datos!K18+Datos!AE18-(Datos!U18+Datos!AM18))/(Datos!U18+Datos!AM18))
     ),IF(D_I="SI",(Datos!K18-Datos!U18)/Datos!U18,(Datos!K18+Datos!AE18-(Datos!U18+Datos!AM18))/(Datos!U18+Datos!AM18))," - ")</f>
        <v>-0.19672131147540983</v>
      </c>
      <c r="G18" s="394">
        <f>IF(ISNUMBER(
   IF(D_I="SI",(Datos!L18-Datos!V18)/Datos!V18,(Datos!L18+Datos!AF18-(Datos!V18+Datos!AN18))/(Datos!V18+Datos!AN18))
     ),IF(D_I="SI",(Datos!L18-Datos!V18)/Datos!V18,(Datos!L18+Datos!AF18-(Datos!V18+Datos!AN18))/(Datos!V18+Datos!AN18))," - ")</f>
        <v>0.5636363636363636</v>
      </c>
      <c r="H18" s="244">
        <f>IF(ISNUMBER((Datos!M18-Datos!W18)/Datos!W18),(Datos!M18-Datos!W18)/Datos!W18," - ")</f>
        <v>0.66666666666666663</v>
      </c>
      <c r="I18" s="395">
        <f>IF(ISNUMBER((Tasas!C18-Datos!BE18)/Datos!BE18),(Tasas!C18-Datos!BE18)/Datos!BE18," - ")</f>
        <v>0.94656771799628936</v>
      </c>
      <c r="J18" s="394">
        <f>IF(ISNUMBER((Tasas!D18-Datos!BF18)/Datos!BF18),(Tasas!D18-Datos!BF18)/Datos!BF18," - ")</f>
        <v>1.0748299319727892</v>
      </c>
      <c r="K18" s="396">
        <f>IF(ISNUMBER((Tasas!E18-Datos!BG18)/Datos!BG18),(Tasas!E18-Datos!BG18)/Datos!BG18," - ")</f>
        <v>0.54539057002111202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-1.7971758664955071E-2</v>
      </c>
      <c r="E23" s="399">
        <f>IF(ISNUMBER(
   IF(D_I="SI",(Datos!J23-Datos!T23)/Datos!T23,(Datos!J23+Datos!AD23-(Datos!T23+Datos!AL23))/(Datos!T23+Datos!AL23))
     ),IF(D_I="SI",(Datos!J23-Datos!T23)/Datos!T23,(Datos!J23+Datos!AD23-(Datos!T23+Datos!AL23))/(Datos!T23+Datos!AL23))," - ")</f>
        <v>0.37577639751552794</v>
      </c>
      <c r="F23" s="399">
        <f>IF(ISNUMBER(
   IF(D_I="SI",(Datos!K23-Datos!U23)/Datos!U23,(Datos!K23+Datos!AE23-(Datos!U23+Datos!AM23))/(Datos!U23+Datos!AM23))
     ),IF(D_I="SI",(Datos!K23-Datos!U23)/Datos!U23,(Datos!K23+Datos!AE23-(Datos!U23+Datos!AM23))/(Datos!U23+Datos!AM23))," - ")</f>
        <v>-8.3516483516483511E-2</v>
      </c>
      <c r="G23" s="400">
        <f>IF(ISNUMBER(
   IF(D_I="SI",(Datos!L23-Datos!V23)/Datos!V23,(Datos!L23+Datos!AF23-(Datos!V23+Datos!AN23))/(Datos!V23+Datos!AN23))
     ),IF(D_I="SI",(Datos!L23-Datos!V23)/Datos!V23,(Datos!L23+Datos!AF23-(Datos!V23+Datos!AN23))/(Datos!V23+Datos!AN23))," - ")</f>
        <v>0.2365079365079365</v>
      </c>
      <c r="H23" s="401">
        <f>IF(ISNUMBER((Datos!M23-Datos!W23)/Datos!W23),(Datos!M23-Datos!W23)/Datos!W23," - ")</f>
        <v>2.0408163265306121E-2</v>
      </c>
      <c r="I23" s="402">
        <f>IF(ISNUMBER((Tasas!C23-Datos!BE23)/Datos!BE23),(Tasas!C23-Datos!BE23)/Datos!BE23," - ")</f>
        <v>0.34918731681321608</v>
      </c>
      <c r="J23" s="400">
        <f>IF(ISNUMBER((Tasas!D23-Datos!BF23)/Datos!BF23),(Tasas!D23-Datos!BF23)/Datos!BF23," - ")</f>
        <v>0.11339499828708459</v>
      </c>
      <c r="K23" s="403">
        <f>IF(ISNUMBER((Tasas!E23-Datos!BG23)/Datos!BG23),(Tasas!E23-Datos!BG23)/Datos!BG23," - ")</f>
        <v>0.19716760651424381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-4.1992882562277581E-2</v>
      </c>
      <c r="E31" s="409">
        <f>IF(ISNUMBER(
   IF(J_V="SI",(Datos!J31-Datos!T31)/Datos!T31,(Datos!J31+Datos!Z31-(Datos!T31+Datos!AH31))/(Datos!T31+Datos!AH31))
     ),IF(J_V="SI",(Datos!J31-Datos!T31)/Datos!T31,(Datos!J31+Datos!Z31-(Datos!T31+Datos!AH31))/(Datos!T31+Datos!AH31))," - ")</f>
        <v>0.16971279373368145</v>
      </c>
      <c r="F31" s="409">
        <f>IF(ISNUMBER(
   IF(J_V="SI",(Datos!K31-Datos!U31)/Datos!U31,(Datos!K31+Datos!AA31-(Datos!U31+Datos!AI31))/(Datos!U31+Datos!AI31))
     ),IF(J_V="SI",(Datos!K31-Datos!U31)/Datos!U31,(Datos!K31+Datos!AA31-(Datos!U31+Datos!AI31))/(Datos!U31+Datos!AI31))," - ")</f>
        <v>-0.18063872255489022</v>
      </c>
      <c r="G31" s="410">
        <f>IF(ISNUMBER(
   IF(J_V="SI",(Datos!L31-Datos!V31)/Datos!V31,(Datos!L31+Datos!AB31-(Datos!V31+Datos!AJ31))/(Datos!V31+Datos!AJ31))
     ),IF(J_V="SI",(Datos!L31-Datos!V31)/Datos!V31,(Datos!L31+Datos!AB31-(Datos!V31+Datos!AJ31))/(Datos!V31+Datos!AJ31))," - ")</f>
        <v>0.21689895470383275</v>
      </c>
      <c r="H31" s="411">
        <f>IF(ISNUMBER((Datos!M31-Datos!W31)/Datos!W31),(Datos!M31-Datos!W31)/Datos!W31," - ")</f>
        <v>-0.18410041841004185</v>
      </c>
      <c r="I31" s="408">
        <f>IF(ISNUMBER((Tasas!C31-Datos!BE31)/Datos!BE31),(Tasas!C31-Datos!BE31)/Datos!BE31," - ")</f>
        <v>0.48517996664219276</v>
      </c>
      <c r="J31" s="409">
        <f>IF(ISNUMBER((Tasas!D31-Datos!BF31)/Datos!BF31),(Tasas!D31-Datos!BF31)/Datos!BF31," - ")</f>
        <v>-0.17934394556680244</v>
      </c>
      <c r="K31" s="410">
        <f>IF(ISNUMBER((Tasas!E31-Datos!BG31)/Datos!BG31),(Tasas!E31-Datos!BG31)/Datos!BG31," - ")</f>
        <v>0.26037665136325316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1.2442791963396114</v>
      </c>
      <c r="E33" s="303">
        <f t="shared" si="1"/>
        <v>0.28181195084183747</v>
      </c>
      <c r="F33" s="303">
        <f t="shared" si="1"/>
        <v>0.72668477899533035</v>
      </c>
      <c r="G33" s="304">
        <f t="shared" si="1"/>
        <v>0.68522016492825111</v>
      </c>
      <c r="H33" s="310">
        <f t="shared" si="1"/>
        <v>0.54568366842554394</v>
      </c>
      <c r="I33" s="302">
        <f t="shared" si="1"/>
        <v>0.29012474289650858</v>
      </c>
      <c r="J33" s="303">
        <f t="shared" si="1"/>
        <v>0.52389503065342802</v>
      </c>
      <c r="K33" s="304">
        <f t="shared" si="1"/>
        <v>0.161850060616643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z0YF8RIzjjoGpV4bTu+6AEgwWPaB/G1NeHNP3SuwBrvihj9g9fWqF9Vga1TEnSbhmpByvhmUO0aSORfjjqObQ==" saltValue="GClU2KPM1g2/U9jphFk2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